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JyQFFl8QxHbjAZQG0R1ZwJIRwpD85On6SvFVGKwV3kmkB77i1nfJMNIdeb3djMLwdUFr85fKFmoZkwbuI9i7Vw==" workbookSaltValue="JI8/xfCU4frkIHjJOqIMF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7" i="17"/>
  <c r="BU12" i="17"/>
  <c r="T13" i="16"/>
  <c r="AZ16" i="11"/>
  <c r="X17" i="17"/>
  <c r="P15" i="17"/>
  <c r="BL15"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BG10" i="8"/>
  <c r="B9" i="6"/>
  <c r="T9" i="11"/>
  <c r="V9" i="16"/>
  <c r="L9" i="2"/>
  <c r="U9" i="17"/>
  <c r="U19" i="17" s="1"/>
  <c r="X10" i="21"/>
  <c r="L16" i="2"/>
  <c r="L15" i="2"/>
  <c r="L10" i="2"/>
  <c r="BL16" i="11"/>
  <c r="BJ16" i="11"/>
  <c r="AQ12" i="21"/>
  <c r="BH16" i="11"/>
  <c r="BF15" i="11"/>
  <c r="BM17" i="11"/>
  <c r="Q15" i="17"/>
  <c r="BH10" i="16"/>
  <c r="BL10" i="11"/>
  <c r="BF12" i="11"/>
  <c r="S15" i="16"/>
  <c r="AZ11" i="11"/>
  <c r="S11" i="17"/>
  <c r="BV10" i="16"/>
  <c r="BW12" i="20"/>
  <c r="BU11" i="17"/>
  <c r="BK17" i="11"/>
  <c r="BJ12" i="11"/>
  <c r="BM12" i="11"/>
  <c r="BF10" i="11"/>
  <c r="BM16" i="11"/>
  <c r="BH11" i="16"/>
  <c r="AL16" i="11"/>
  <c r="C16" i="6"/>
  <c r="BE9" i="13"/>
  <c r="S10" i="17"/>
  <c r="AQ10" i="21"/>
  <c r="BI9" i="11"/>
  <c r="BH10" i="11"/>
  <c r="Q17" i="17"/>
  <c r="BG12" i="11"/>
  <c r="T16" i="11"/>
  <c r="AZ12" i="11"/>
  <c r="AA17" i="16"/>
  <c r="BV9" i="16"/>
  <c r="BU16" i="17"/>
  <c r="V12" i="16"/>
  <c r="BW10" i="20"/>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W20" i="20"/>
  <c r="O10" i="11"/>
  <c r="AP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0"/>
  <c r="AF20" i="20"/>
  <c r="AG20" i="20"/>
  <c r="AC20" i="20"/>
  <c r="K20" i="20"/>
  <c r="AH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G19" i="7"/>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D20" i="11"/>
  <c r="AZ20" i="16"/>
  <c r="BD20" i="16"/>
  <c r="AP20" i="17"/>
  <c r="AE20" i="21"/>
  <c r="AU20" i="21"/>
  <c r="O20" i="21"/>
  <c r="H20" i="21"/>
  <c r="X20" i="21"/>
  <c r="AE20" i="17"/>
  <c r="J20" i="11"/>
  <c r="J20" i="17"/>
  <c r="N20" i="11"/>
  <c r="AJ20" i="17"/>
  <c r="AR20" i="20"/>
  <c r="AD20" i="16"/>
  <c r="M20" i="21"/>
  <c r="F20" i="21"/>
  <c r="AR20" i="11"/>
  <c r="E20" i="16"/>
  <c r="P20" i="21"/>
  <c r="O20" i="11"/>
  <c r="AS20" i="11"/>
  <c r="AB20" i="21"/>
  <c r="F20" i="16"/>
  <c r="S20" i="17"/>
  <c r="AV20" i="1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21"/>
  <c r="V20" i="16"/>
  <c r="BM20" i="16"/>
  <c r="K20" i="16"/>
  <c r="AT20" i="17"/>
  <c r="S20" i="11"/>
  <c r="BK20" i="16"/>
  <c r="AN20" i="16"/>
  <c r="AJ20" i="16"/>
  <c r="L20" i="17"/>
  <c r="E20" i="17"/>
  <c r="K20" i="17"/>
  <c r="P20" i="11"/>
  <c r="AB20" i="16"/>
  <c r="AO20" i="16"/>
  <c r="BE20" i="16"/>
  <c r="M20" i="11"/>
  <c r="J20" i="12"/>
  <c r="U20" i="11"/>
  <c r="AC20" i="11"/>
  <c r="L20" i="11"/>
  <c r="AJ20" i="21"/>
  <c r="H20" i="16"/>
  <c r="BJ20" i="16"/>
  <c r="AL20" i="16"/>
  <c r="E20" i="11"/>
  <c r="AV20" i="17"/>
  <c r="O12" i="11"/>
  <c r="BA20" i="16"/>
  <c r="Z20" i="17"/>
  <c r="BD19" i="8" l="1"/>
  <c r="BL20" i="16"/>
  <c r="AQ20" i="11"/>
  <c r="AT20" i="2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<sst xmlns="http://schemas.openxmlformats.org/spreadsheetml/2006/main" count="2088" uniqueCount="918">
  <si>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</si>
  <si>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</si>
  <si>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</si>
  <si>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</si>
  <si>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</si>
  <si>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</si>
  <si>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</si>
  <si>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</si>
  <si>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</si>
  <si>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</si>
  <si>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</si>
  <si>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</si>
  <si>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</si>
  <si>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</si>
  <si>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</si>
  <si>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</si>
  <si>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</si>
  <si>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</si>
  <si>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</si>
  <si>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</si>
  <si>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</si>
  <si>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</si>
  <si>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</si>
  <si>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</si>
  <si>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</si>
  <si>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</si>
  <si>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</si>
  <si>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</si>
  <si>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</si>
  <si>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</si>
  <si>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</si>
  <si>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</si>
  <si>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</si>
  <si>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</si>
  <si>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</si>
  <si>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</si>
  <si>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</si>
  <si>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</si>
  <si>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</si>
  <si>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</si>
  <si>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</si>
  <si>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</si>
  <si>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</si>
  <si>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</si>
  <si>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</si>
  <si>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</si>
  <si>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</si>
  <si>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</si>
  <si>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</si>
  <si>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</si>
  <si>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</si>
  <si>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</si>
  <si>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</si>
  <si>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</si>
  <si>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</si>
  <si>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</si>
  <si>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</si>
  <si>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</si>
  <si>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</si>
  <si>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</si>
  <si>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</si>
  <si>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</si>
  <si>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</si>
  <si>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</si>
  <si>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</si>
  <si>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</si>
  <si>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</si>
  <si>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</si>
  <si>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</si>
  <si>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</si>
  <si>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</si>
  <si>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</si>
  <si>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</si>
  <si>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</si>
  <si>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</si>
  <si>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</si>
  <si>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</si>
  <si>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</si>
  <si>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</si>
  <si>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</si>
  <si>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</si>
  <si>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</si>
  <si>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</si>
  <si>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</si>
  <si>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</si>
  <si>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</si>
  <si>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</si>
  <si>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</si>
  <si>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</si>
  <si>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</si>
  <si>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</si>
  <si>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</si>
  <si>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</si>
  <si>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</si>
  <si>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</si>
  <si>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</si>
  <si>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</si>
  <si>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</si>
  <si>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</si>
  <si>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</si>
  <si>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</si>
  <si>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</si>
  <si>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</si>
  <si>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</si>
  <si>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</si>
  <si>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</si>
  <si>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</si>
  <si>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</si>
  <si>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</si>
  <si>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</si>
  <si>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</si>
  <si>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</si>
  <si>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</si>
  <si>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</si>
  <si>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</si>
  <si>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</si>
  <si>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</si>
  <si>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</si>
  <si>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</si>
  <si>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</si>
  <si>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</si>
  <si>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</si>
  <si>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</si>
  <si>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</si>
  <si>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</si>
  <si>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</si>
  <si>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</si>
  <si>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</si>
  <si>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</si>
  <si>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</si>
  <si>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</si>
  <si>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</si>
  <si>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</si>
  <si>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</si>
  <si>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</si>
  <si>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</si>
  <si>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</si>
  <si>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</si>
  <si>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</si>
  <si>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</si>
  <si>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</si>
  <si>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</si>
  <si>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</si>
  <si>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</si>
  <si>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</si>
  <si>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</si>
  <si>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</si>
  <si>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</si>
  <si>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</si>
  <si>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</si>
  <si>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</si>
  <si>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</si>
  <si>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</si>
  <si>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</si>
  <si>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</si>
  <si>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</si>
  <si>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</si>
  <si>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</si>
  <si>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</si>
  <si>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</si>
  <si>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</si>
  <si>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</si>
  <si>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</si>
  <si>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</si>
  <si>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</si>
  <si>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</si>
  <si>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</si>
  <si>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</si>
  <si>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</si>
  <si>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</si>
  <si>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</si>
  <si>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</si>
  <si>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</si>
  <si>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</si>
  <si>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</si>
  <si>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</si>
  <si>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</si>
  <si>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</si>
  <si>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</si>
  <si>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</si>
  <si>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</si>
  <si>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</si>
  <si>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</si>
  <si>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</si>
  <si>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</si>
  <si>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</si>
  <si>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</si>
  <si>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</si>
  <si>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</si>
  <si>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</si>
  <si>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</si>
  <si>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</si>
  <si>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</si>
  <si>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</si>
  <si>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</si>
  <si>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</si>
  <si>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</si>
  <si>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</si>
  <si>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</si>
  <si>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</si>
  <si>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</si>
  <si>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</si>
  <si>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</si>
  <si>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</si>
  <si>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</si>
  <si>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</si>
  <si>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</si>
  <si>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</si>
  <si>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</si>
  <si>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</si>
  <si>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</si>
  <si>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</si>
  <si>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</si>
  <si>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</si>
  <si>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</si>
  <si>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</si>
  <si>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</si>
  <si>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</si>
  <si>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</si>
  <si>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</si>
  <si>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</si>
  <si>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</si>
  <si>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</si>
  <si>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</si>
  <si>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</si>
  <si>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</si>
  <si>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</si>
  <si>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</si>
  <si>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</si>
  <si>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</si>
  <si>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</si>
  <si>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</si>
  <si>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</si>
  <si>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</si>
  <si>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</si>
  <si>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</si>
  <si>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</si>
  <si>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</si>
  <si>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</si>
  <si>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</si>
  <si>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</si>
  <si>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</si>
  <si>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</si>
  <si>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</si>
  <si>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</si>
  <si>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</si>
  <si>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</si>
  <si>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</si>
  <si>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</si>
  <si>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</si>
  <si>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</si>
  <si>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</si>
  <si>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</si>
  <si>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</si>
  <si>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</si>
  <si>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</si>
  <si>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</si>
  <si>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</si>
  <si>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</si>
  <si>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</si>
  <si>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</si>
  <si>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</si>
  <si>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</si>
  <si>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</si>
  <si>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</si>
  <si>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</si>
  <si>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</si>
  <si>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</si>
  <si>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</si>
  <si>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</si>
  <si>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</si>
  <si>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</si>
  <si>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</si>
  <si>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</si>
  <si>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</si>
  <si>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</si>
  <si>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</si>
  <si>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</si>
  <si>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</si>
  <si>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</si>
  <si>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</si>
  <si>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</si>
  <si>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</si>
  <si>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</si>
  <si>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</si>
  <si>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</si>
  <si>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</si>
  <si>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</si>
  <si>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</si>
  <si>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</si>
  <si>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</si>
  <si>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</si>
  <si>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</si>
  <si>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</si>
  <si>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</si>
  <si>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</si>
  <si>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</si>
  <si>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</si>
  <si>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</si>
  <si>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</si>
  <si>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</si>
  <si>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</si>
  <si>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</si>
  <si>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</si>
  <si>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</si>
  <si>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</si>
  <si>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</si>
  <si>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</si>
  <si>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</si>
  <si>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</si>
  <si>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</si>
  <si>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</si>
  <si>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</si>
  <si>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</si>
  <si>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</si>
  <si>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</si>
  <si>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</si>
  <si>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</si>
  <si>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</si>
  <si>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</si>
  <si>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</si>
  <si>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</si>
  <si>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</si>
  <si>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</si>
  <si>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</si>
  <si>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</si>
  <si>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</si>
  <si>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</si>
  <si>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</si>
  <si>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</si>
  <si>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</si>
  <si>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</si>
  <si>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</si>
  <si>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</si>
  <si>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</si>
  <si>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</si>
  <si>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</si>
  <si>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</si>
  <si>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</si>
  <si>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</si>
  <si>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</si>
  <si>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</si>
  <si>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</si>
  <si>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</si>
  <si>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</si>
  <si>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</si>
  <si>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</si>
  <si>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</si>
  <si>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</si>
  <si>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</si>
  <si>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</si>
  <si>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</si>
  <si>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</si>
  <si>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</si>
  <si>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</si>
  <si>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</si>
  <si>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</si>
  <si>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</si>
  <si>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</si>
  <si>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</si>
  <si>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</si>
  <si>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</si>
  <si>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</si>
  <si>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</si>
  <si>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</si>
  <si>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</si>
  <si>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</si>
  <si>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</si>
  <si>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</si>
  <si>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</si>
  <si>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</si>
  <si>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</si>
  <si>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</si>
  <si>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</si>
  <si>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</si>
  <si>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</si>
  <si>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</si>
  <si>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</si>
  <si>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</si>
  <si>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</si>
  <si>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</si>
  <si>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</si>
  <si>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</si>
  <si>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</si>
  <si>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</si>
  <si>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</si>
  <si>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</si>
  <si>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</si>
  <si>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</si>
  <si>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</si>
  <si>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</si>
  <si>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</si>
  <si>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</si>
  <si>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</si>
  <si>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</si>
  <si>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</si>
  <si>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</si>
  <si>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</si>
  <si>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</si>
  <si>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</si>
  <si>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</si>
  <si>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</si>
  <si>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</si>
  <si>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</si>
  <si>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</si>
  <si>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</si>
  <si>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</si>
  <si>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</si>
  <si>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</si>
  <si>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</si>
  <si>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</si>
  <si>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</si>
  <si>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</si>
  <si>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</si>
  <si>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</si>
  <si>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</si>
  <si>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</si>
  <si>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</si>
  <si>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</si>
  <si>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</si>
  <si>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</si>
  <si>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</si>
  <si>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</si>
  <si>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</si>
  <si>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</si>
  <si>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</si>
  <si>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</si>
  <si>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</si>
  <si>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</si>
  <si>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</si>
  <si>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</si>
  <si>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</si>
  <si>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</si>
  <si>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</si>
  <si>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</si>
  <si>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</si>
  <si>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</si>
  <si>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</si>
  <si>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</si>
  <si>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</si>
  <si>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</si>
  <si>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</si>
  <si>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</si>
  <si>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</si>
  <si>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</si>
  <si>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</si>
  <si>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</si>
  <si>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</si>
  <si>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</si>
  <si>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</si>
  <si>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</si>
  <si>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</si>
  <si>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</si>
  <si>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</si>
  <si>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</si>
  <si>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</si>
  <si>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</si>
  <si>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</si>
  <si>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</si>
  <si>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</si>
  <si>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</si>
  <si>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</si>
  <si>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</si>
  <si>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</si>
  <si>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</si>
  <si>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</si>
  <si>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</si>
  <si>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</si>
  <si>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</si>
  <si>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</si>
  <si>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</si>
  <si>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</si>
  <si>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</si>
  <si>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</si>
  <si>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</si>
  <si>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</si>
  <si>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</si>
  <si>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</si>
  <si>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</si>
  <si>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</si>
  <si>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</si>
  <si>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</si>
  <si>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</si>
  <si>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</si>
  <si>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</si>
  <si>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</si>
  <si>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</si>
  <si>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</si>
  <si>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</si>
  <si>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</si>
  <si>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</si>
  <si>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</si>
  <si>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</si>
  <si>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</si>
  <si>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</si>
  <si>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</si>
  <si>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</si>
  <si>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</si>
  <si>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</si>
  <si>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</si>
  <si>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</si>
  <si>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</si>
  <si>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</si>
  <si>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</si>
  <si>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</si>
  <si>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</si>
  <si>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</si>
  <si>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</si>
  <si>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</si>
  <si>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</si>
  <si>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</si>
  <si>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</si>
  <si>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</si>
  <si>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</si>
  <si>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</si>
  <si>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</si>
  <si>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</si>
  <si>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</si>
  <si>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</si>
  <si>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</si>
  <si>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</si>
  <si>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</si>
  <si>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</si>
  <si>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</si>
  <si>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</si>
  <si>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</si>
  <si>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</si>
  <si>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</si>
  <si>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</si>
  <si>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</si>
  <si>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</si>
  <si>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</si>
  <si>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</si>
  <si>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</si>
  <si>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</si>
  <si>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</si>
  <si>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</si>
  <si>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</si>
  <si>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</si>
  <si>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</si>
  <si>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</si>
  <si>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</si>
  <si>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</si>
  <si>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</si>
  <si>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</si>
  <si>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</si>
  <si>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</si>
  <si>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</si>
  <si>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</si>
  <si>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</si>
  <si>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</si>
  <si>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</si>
  <si>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</si>
  <si>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</si>
  <si>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</si>
  <si>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</si>
  <si>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</si>
  <si>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</si>
  <si>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</si>
  <si>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</si>
  <si>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</si>
  <si>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</si>
  <si>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</si>
  <si>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</si>
  <si>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</si>
  <si>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</si>
  <si>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</si>
  <si>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</si>
  <si>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</si>
  <si>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</si>
  <si>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</si>
  <si>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</si>
  <si>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</si>
  <si>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</si>
  <si>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</si>
  <si>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</si>
  <si>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</si>
  <si>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</si>
  <si>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</si>
  <si>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</si>
  <si>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</si>
  <si>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</si>
  <si>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</si>
  <si>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</si>
  <si>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</si>
  <si>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</si>
  <si>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</si>
  <si>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</si>
  <si>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</si>
  <si>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</si>
  <si>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</si>
  <si>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</si>
  <si>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</si>
  <si>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</si>
  <si>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</si>
  <si>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</si>
  <si>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</si>
  <si>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</si>
  <si>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</si>
  <si>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</si>
  <si>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</si>
  <si>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</si>
  <si>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</si>
  <si>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</si>
  <si>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</si>
  <si>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</si>
  <si>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</si>
  <si>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</si>
  <si>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</si>
  <si>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</si>
  <si>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</si>
  <si>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</si>
  <si>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</si>
  <si>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</si>
  <si>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</si>
  <si>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</si>
  <si>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</si>
  <si>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</si>
  <si>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</si>
  <si>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</si>
  <si>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</si>
  <si>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</si>
  <si>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</si>
  <si>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</si>
  <si>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</si>
  <si>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</si>
  <si>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</si>
  <si>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</si>
  <si>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</si>
  <si>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</si>
  <si>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</si>
  <si>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</si>
  <si>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</si>
  <si>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</si>
  <si>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</si>
  <si>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</si>
  <si>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</si>
  <si>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</si>
  <si>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</si>
  <si>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</si>
  <si>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</si>
  <si>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</si>
  <si>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</si>
  <si>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</si>
  <si>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</si>
  <si>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</si>
  <si>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</si>
  <si>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</si>
  <si>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</si>
  <si>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</si>
  <si>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</si>
  <si>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</si>
  <si>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</si>
  <si>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</si>
  <si>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</si>
  <si>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</si>
  <si>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</si>
  <si>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</si>
  <si>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</si>
  <si>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</si>
  <si>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</si>
  <si>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</si>
  <si>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</si>
  <si>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</si>
  <si>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</si>
  <si>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</si>
  <si>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</si>
  <si>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</si>
  <si>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</si>
  <si>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</si>
  <si>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</si>
  <si>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</si>
  <si>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</si>
  <si>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</si>
  <si>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</si>
  <si>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</si>
  <si>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</si>
  <si>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</si>
  <si>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</si>
  <si>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</si>
  <si>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</si>
  <si>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</si>
  <si>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</si>
  <si>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</si>
  <si>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</si>
  <si>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</si>
  <si>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</si>
  <si>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</si>
  <si>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</si>
  <si>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</si>
  <si>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</si>
  <si>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</si>
  <si>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</si>
  <si>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</si>
  <si>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</si>
  <si>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</si>
  <si>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</si>
  <si>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</si>
  <si>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</si>
  <si>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</si>
  <si>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</si>
  <si>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</si>
  <si>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</si>
  <si>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</si>
  <si>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</si>
  <si>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</si>
  <si>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</si>
  <si>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</si>
  <si>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</si>
  <si>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</si>
  <si>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</si>
  <si>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</si>
  <si>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</si>
  <si>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</si>
  <si>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</si>
  <si>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</si>
  <si>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</si>
  <si>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</si>
  <si>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</si>
  <si>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</si>
  <si>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</si>
  <si>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</si>
  <si>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</si>
  <si>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</si>
  <si>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</si>
  <si>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</si>
  <si>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</si>
  <si>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</si>
  <si>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</si>
  <si>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</si>
  <si>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</si>
  <si>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</si>
  <si>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</si>
  <si>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</si>
  <si>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</si>
  <si>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</si>
  <si>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</si>
  <si>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</si>
  <si>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</si>
  <si>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</si>
  <si>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</si>
  <si>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</si>
  <si>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</si>
  <si>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</si>
  <si>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</si>
  <si>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</si>
  <si>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</si>
  <si>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</si>
  <si>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</si>
  <si>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</si>
  <si>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</si>
  <si>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</si>
  <si>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</si>
  <si>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</si>
  <si>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</si>
  <si>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</si>
  <si>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</si>
  <si>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</si>
  <si>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</si>
  <si>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</si>
  <si>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</si>
  <si>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</si>
  <si>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</si>
  <si>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</si>
  <si>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</si>
  <si>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</si>
  <si>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</si>
  <si>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</si>
  <si>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</si>
  <si>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</si>
  <si>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</si>
  <si>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</si>
  <si>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</si>
  <si>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</si>
  <si>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</si>
  <si>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</si>
  <si>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</si>
  <si>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</si>
  <si>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</si>
  <si>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</si>
  <si>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</si>
  <si>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</si>
  <si>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</si>
  <si>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</si>
  <si>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</si>
  <si>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</si>
  <si>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</si>
  <si>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</si>
  <si>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</si>
  <si>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</si>
  <si>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</si>
  <si>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</si>
  <si>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</si>
  <si>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</si>
  <si>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</si>
  <si>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</si>
  <si>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</si>
  <si>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</si>
  <si>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</si>
  <si>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</si>
  <si>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</si>
  <si>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</si>
  <si>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</si>
  <si>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</si>
  <si>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</si>
  <si>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</si>
  <si>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</si>
  <si>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</si>
  <si>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</si>
  <si>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</si>
  <si>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</si>
  <si>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</si>
  <si>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</si>
  <si>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</si>
  <si>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</si>
  <si>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</si>
  <si>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</si>
  <si>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</si>
  <si>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</si>
  <si>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</si>
  <si>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</si>
  <si>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</si>
  <si>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</si>
  <si>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</si>
  <si>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</si>
  <si>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</si>
  <si>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</si>
  <si>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</si>
  <si>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</si>
  <si>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</si>
  <si>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</si>
  <si>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</si>
  <si>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</si>
  <si>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</si>
  <si>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</si>
  <si>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</si>
  <si>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</si>
  <si>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</si>
  <si>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</si>
  <si>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</si>
  <si>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</si>
  <si>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</si>
  <si>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</si>
  <si>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</si>
  <si>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</si>
  <si>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</si>
  <si>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</si>
  <si>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</si>
  <si>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</si>
  <si>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</si>
  <si>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</si>
  <si>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</si>
  <si>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</si>
  <si>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</si>
  <si>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</si>
  <si>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</si>
  <si>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</si>
  <si>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</si>
  <si>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</si>
  <si>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</si>
  <si>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</si>
  <si>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</si>
  <si>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</si>
  <si>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</si>
  <si>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</si>
  <si>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</si>
  <si>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</si>
  <si>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</si>
  <si>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</si>
  <si>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</si>
  <si>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</si>
  <si>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</si>
  <si>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</si>
  <si>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</si>
  <si>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</si>
  <si>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</si>
  <si>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</si>
  <si>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</si>
  <si>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</si>
  <si>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</si>
  <si>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</si>
  <si>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</si>
  <si>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</si>
  <si>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</si>
  <si>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</si>
  <si>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</si>
  <si>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</si>
  <si>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</si>
  <si>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</si>
  <si>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</si>
  <si>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</si>
  <si>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</si>
  <si>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</si>
  <si>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</si>
  <si>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</si>
  <si>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</si>
  <si>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</si>
  <si>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</si>
  <si>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</si>
  <si>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</si>
  <si>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</si>
  <si>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</si>
  <si>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</si>
  <si>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</si>
  <si>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</si>
  <si>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</si>
  <si>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</si>
  <si>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</si>
  <si>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</si>
  <si>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</si>
  <si>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</si>
  <si>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</si>
  <si>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</si>
  <si>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ISLAS BALEARES</t>
  </si>
  <si>
    <t>Provincias</t>
  </si>
  <si>
    <t>ILLES BALEARS</t>
  </si>
  <si>
    <t>Resumenes por Partidos Judiciales</t>
  </si>
  <si>
    <t>PALMA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</si>
</sst>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HStruEHGRh1WXLZx48nC0W0O9ij4pDMF5wyBiiOX/OdzsQZdRuSa6yQtgMz5ollbiMsaSUDWsVsHhiiSrPwg==" saltValue="atS4QGieOFKjDjV+F2lW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20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37.320915754593834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3</v>
      </c>
      <c r="B10" s="502" t="str">
        <f>Datos!A10</f>
        <v>Jdos. Violencia contra la mujer</v>
      </c>
      <c r="C10" s="225">
        <f t="shared" si="0"/>
        <v>277</v>
      </c>
      <c r="D10" s="225">
        <f>IF(ISNUMBER(Datos!I10),Datos!I10," - ")</f>
        <v>277</v>
      </c>
      <c r="E10" s="226">
        <f>IF(ISNUMBER(Datos!J10),Datos!J10," - ")</f>
        <v>174</v>
      </c>
      <c r="F10" s="226">
        <f>IF(ISNUMBER(Datos!K10),Datos!K10," - ")</f>
        <v>130</v>
      </c>
      <c r="G10" s="1034" t="str">
        <f>IF(Datos!E10&lt;&gt;"",Datos!E10,Datos!D10)</f>
        <v>37</v>
      </c>
      <c r="H10" s="227">
        <f>IF(ISNUMBER(Datos!L10),Datos!L10," - ")</f>
        <v>321</v>
      </c>
      <c r="I10" s="1044" t="str">
        <f>IF(ISNUMBER(Datos!AS10/Datos!BM10),Datos!AS10/Datos!BM10," - ")</f>
        <v xml:space="preserve"> - </v>
      </c>
      <c r="J10" s="1045">
        <f>IF(ISNUMBER(Datos!BY10/Datos!CN10),Datos!BY10/Datos!CN10," - ")</f>
        <v>0</v>
      </c>
      <c r="K10" s="230">
        <f t="shared" ref="K10:K12" si="1">IF(ISNUMBER((E10-F10)/C10),(E10-F10)/C10," - ")</f>
        <v>0.1588447653429603</v>
      </c>
      <c r="L10" s="1025">
        <f>IF(ISNUMBER(NºAsuntos!I10/NºAsuntos!G10),(NºAsuntos!I10/NºAsuntos!G10)*11," - ")</f>
        <v>27.161538461538463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11.706363105662579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277</v>
      </c>
      <c r="D13" s="1049">
        <f>SUBTOTAL(9,D9:D12)</f>
        <v>277</v>
      </c>
      <c r="E13" s="1050">
        <f>SUBTOTAL(9,E9:E12)</f>
        <v>174</v>
      </c>
      <c r="F13" s="1051">
        <f>SUBTOTAL(9,F9:F12)</f>
        <v>130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12</v>
      </c>
      <c r="B15" s="502" t="str">
        <f>Datos!A15</f>
        <v xml:space="preserve">Jdos. Instrucción                               </v>
      </c>
      <c r="C15" s="225">
        <f t="shared" ref="C15:C17" si="2">IF(ISNUMBER(H15-E15+F15),H15-E15+F15," - ")</f>
        <v>8414</v>
      </c>
      <c r="D15" s="225">
        <f>IF(ISNUMBER(IF(D_I="SI",Datos!I15,Datos!I15+Datos!AC15)),IF(D_I="SI",Datos!I15,Datos!I15+Datos!AC15)," - ")</f>
        <v>8048</v>
      </c>
      <c r="E15" s="226">
        <f>IF(ISNUMBER(IF(D_I="SI",Datos!J15,Datos!J15+Datos!AD15)),IF(D_I="SI",Datos!J15,Datos!J15+Datos!AD15)," - ")</f>
        <v>9856</v>
      </c>
      <c r="F15" s="226">
        <f>IF(ISNUMBER(IF(D_I="SI",Datos!K15,Datos!K15+Datos!AE15)),IF(D_I="SI",Datos!K15,Datos!K15+Datos!AE15)," - ")</f>
        <v>10068</v>
      </c>
      <c r="G15" s="1034" t="str">
        <f>IF(Datos!E15&lt;&gt;"",Datos!E15,Datos!D15)</f>
        <v>03</v>
      </c>
      <c r="H15" s="227">
        <f>IF(ISNUMBER(IF(D_I="SI",Datos!L15,Datos!L15+Datos!AF15)),IF(D_I="SI",Datos!L15,Datos!L15+Datos!AF15)," - ")</f>
        <v>8202</v>
      </c>
      <c r="I15" s="1044" t="str">
        <f>IF(ISNUMBER(Datos!AS15/Datos!BM15),Datos!AS15/Datos!BM15," - ")</f>
        <v xml:space="preserve"> - </v>
      </c>
      <c r="J15" s="1045">
        <f>IF(ISNUMBER(Datos!BY15/Datos!CN15),Datos!BY15/Datos!CN15," - ")</f>
        <v>0</v>
      </c>
      <c r="K15" s="230">
        <f t="shared" ref="K15:K17" si="3">IF(ISNUMBER((E15-F15)/C15),(E15-F15)/C15," - ")</f>
        <v>-2.5196101735203234E-2</v>
      </c>
      <c r="L15" s="1025">
        <f>IF(ISNUMBER(NºAsuntos!I15/NºAsuntos!G15),(NºAsuntos!I15/NºAsuntos!G15)*11," - ")</f>
        <v>8.9612634088200238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3</v>
      </c>
      <c r="B17" s="502" t="str">
        <f>Datos!A17</f>
        <v>Jdos. Violencia contra la mujer</v>
      </c>
      <c r="C17" s="225">
        <f t="shared" si="2"/>
        <v>1309</v>
      </c>
      <c r="D17" s="225">
        <f>IF(ISNUMBER(IF(D_I="SI",Datos!I17,Datos!I17+Datos!AC17)),IF(D_I="SI",Datos!I17,Datos!I17+Datos!AC17)," - ")</f>
        <v>1309</v>
      </c>
      <c r="E17" s="226">
        <f>IF(ISNUMBER(IF(D_I="SI",Datos!J17,Datos!J17+Datos!AD17)),IF(D_I="SI",Datos!J17,Datos!J17+Datos!AD17)," - ")</f>
        <v>1312</v>
      </c>
      <c r="F17" s="226">
        <f>IF(ISNUMBER(IF(D_I="SI",Datos!K17,Datos!K17+Datos!AE17)),IF(D_I="SI",Datos!K17,Datos!K17+Datos!AE17)," - ")</f>
        <v>1496</v>
      </c>
      <c r="G17" s="1034" t="str">
        <f>IF(Datos!E17&lt;&gt;"",Datos!E17,Datos!D17)</f>
        <v>37</v>
      </c>
      <c r="H17" s="227">
        <f>IF(ISNUMBER(IF(D_I="SI",Datos!L17,Datos!L17+Datos!AF17)),IF(D_I="SI",Datos!L17,Datos!L17+Datos!AF17)," - ")</f>
        <v>1125</v>
      </c>
      <c r="I17" s="1044" t="str">
        <f>IF(ISNUMBER(Datos!AS17/Datos!BM17),Datos!AS17/Datos!BM17," - ")</f>
        <v xml:space="preserve"> - </v>
      </c>
      <c r="J17" s="1045" t="str">
        <f>IF(ISNUMBER((Datos!BY17+Datos!BZ17)/Datos!CN17),(Datos!BY17+Datos!BZ17)/Datos!CN17," - ")</f>
        <v xml:space="preserve"> - </v>
      </c>
      <c r="K17" s="230">
        <f t="shared" si="3"/>
        <v>-0.14056531703590527</v>
      </c>
      <c r="L17" s="1025">
        <f>IF(ISNUMBER(NºAsuntos!I17/NºAsuntos!G17),(NºAsuntos!I17/NºAsuntos!G17)*11," - ")</f>
        <v>8.2720588235294112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9723</v>
      </c>
      <c r="D18" s="1049">
        <f>SUBTOTAL(9,D15:D17)</f>
        <v>9357</v>
      </c>
      <c r="E18" s="1050">
        <f>SUBTOTAL(9,E15:E17)</f>
        <v>11168</v>
      </c>
      <c r="F18" s="1050">
        <f>SUBTOTAL(9,F15:F17)</f>
        <v>11564</v>
      </c>
      <c r="G18" s="1052" t="str">
        <f ca="1">INDIRECT(CONCATENATE("G",ROW()-1))</f>
        <v>37</v>
      </c>
      <c r="H18" s="1053">
        <f ca="1">SUMIF(G$14:G17,G18,H$14:H17)</f>
        <v>1125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10000</v>
      </c>
      <c r="D19" s="1071">
        <f>SUBTOTAL(9,D9:D18)</f>
        <v>9634</v>
      </c>
      <c r="E19" s="1072">
        <f>SUBTOTAL(9,E9:E18)</f>
        <v>11342</v>
      </c>
      <c r="F19" s="1072">
        <f>SUBTOTAL(9,F9:F18)</f>
        <v>11694</v>
      </c>
      <c r="G19" s="1073"/>
      <c r="H19" s="1074">
        <f ca="1">SUMIF(B9:B18,"TOTAL",H9:H18)</f>
        <v>1125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E70USDNCfojASpHKUbF0XWgXOvD3DK8dq5XjR8fHrq99Q4l6JfGk5eH8Ny5aQx7KmTWJ44j3gSyp2rnL1pK1w==" saltValue="pKxGjWkS0KK8l6yOXknb+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gQaYxAMSQtaDdR29qb3eDErNJUcpwW3tthoRgh7qGwrjcYZe14raI1OC00dPiBgdMewIcqYBRs6hh813BQzZA==" saltValue="B+lwYn1Rn34PcQkcGoElq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32778</v>
      </c>
      <c r="J9" s="181">
        <v>10222</v>
      </c>
      <c r="K9" s="181">
        <v>9709</v>
      </c>
      <c r="L9" s="181">
        <v>33293</v>
      </c>
      <c r="M9" s="181">
        <v>2674</v>
      </c>
      <c r="N9" s="181">
        <v>3506</v>
      </c>
      <c r="O9" s="181">
        <v>4374</v>
      </c>
      <c r="P9" s="181">
        <v>2508</v>
      </c>
      <c r="Q9" s="181">
        <v>1839</v>
      </c>
      <c r="R9" s="181">
        <v>37234</v>
      </c>
      <c r="S9" s="181">
        <v>25214</v>
      </c>
      <c r="T9" s="181">
        <v>10960</v>
      </c>
      <c r="U9" s="181">
        <v>7772</v>
      </c>
      <c r="V9" s="181">
        <v>28014</v>
      </c>
      <c r="W9" s="181">
        <v>2043</v>
      </c>
      <c r="X9" s="188">
        <v>2950</v>
      </c>
      <c r="Y9" s="191">
        <v>504</v>
      </c>
      <c r="Z9" s="181">
        <v>242</v>
      </c>
      <c r="AA9" s="181">
        <v>250</v>
      </c>
      <c r="AB9" s="181">
        <v>496</v>
      </c>
      <c r="AC9" s="181">
        <v>0</v>
      </c>
      <c r="AD9" s="181">
        <v>0</v>
      </c>
      <c r="AE9" s="181">
        <v>0</v>
      </c>
      <c r="AF9" s="188">
        <v>0</v>
      </c>
      <c r="AG9" s="191">
        <v>756</v>
      </c>
      <c r="AH9" s="181">
        <v>277</v>
      </c>
      <c r="AI9" s="181">
        <v>403</v>
      </c>
      <c r="AJ9" s="192">
        <v>630</v>
      </c>
      <c r="AK9" s="180">
        <v>0</v>
      </c>
      <c r="AL9" s="181">
        <v>0</v>
      </c>
      <c r="AM9" s="181">
        <v>0</v>
      </c>
      <c r="AN9" s="188">
        <v>0</v>
      </c>
      <c r="AO9" s="258">
        <v>20</v>
      </c>
      <c r="AP9" s="154">
        <v>20</v>
      </c>
      <c r="AQ9" s="154">
        <v>20</v>
      </c>
      <c r="AR9" s="193">
        <v>20</v>
      </c>
      <c r="AS9" s="338" t="s">
        <v>799</v>
      </c>
      <c r="AT9" s="195"/>
      <c r="AU9" s="194"/>
      <c r="AV9" s="195"/>
      <c r="AW9" s="194"/>
      <c r="AX9" s="195"/>
      <c r="AY9" s="123">
        <f>IF(ISNUMBER(IF(J_V="SI",S9,S9+AG9)),IF(J_V="SI",S9,S9+AG9)," - ")</f>
        <v>25970</v>
      </c>
      <c r="AZ9" s="123">
        <f>IF(ISNUMBER(IF(J_V="SI",T9,T9+AH9)),IF(J_V="SI",T9,T9+AH9)," - ")</f>
        <v>11237</v>
      </c>
      <c r="BA9" s="124">
        <f>IF(ISNUMBER(IF(J_V="SI",U9,U9+AI9)),IF(J_V="SI",U9,U9+AI9)," - ")</f>
        <v>8175</v>
      </c>
      <c r="BB9" s="124">
        <f>IF(ISNUMBER(IF(J_V="SI",V9,V9+AJ9)),IF(J_V="SI",V9,V9+AJ9)," - ")</f>
        <v>28644</v>
      </c>
      <c r="BC9" s="125">
        <f>IF(ISNUMBER(X9),X9," - ")</f>
        <v>2950</v>
      </c>
      <c r="BD9" s="126">
        <f>IF(ISNUMBER(BA9/AZ9),BA9/AZ9," - ")</f>
        <v>0.727507341817211</v>
      </c>
      <c r="BE9" s="127">
        <f>IF(ISNUMBER(BB9/BA9),BB9/BA9, " - ")</f>
        <v>3.5038532110091745</v>
      </c>
      <c r="BF9" s="127">
        <f>IF(ISNUMBER(BC9/BA9),BC9/BA9, " - ")</f>
        <v>0.36085626911314983</v>
      </c>
      <c r="BG9" s="196">
        <f>IF(ISNUMBER((AY9+AZ9)/BA9),(AY9+AZ9)/BA9," - ")</f>
        <v>4.5513149847094798</v>
      </c>
      <c r="BH9" s="154">
        <v>20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277</v>
      </c>
      <c r="J10" s="181">
        <v>174</v>
      </c>
      <c r="K10" s="181">
        <v>130</v>
      </c>
      <c r="L10" s="181">
        <v>321</v>
      </c>
      <c r="M10" s="181">
        <v>71</v>
      </c>
      <c r="N10" s="181">
        <v>70</v>
      </c>
      <c r="O10" s="181">
        <v>17</v>
      </c>
      <c r="P10" s="181">
        <v>64</v>
      </c>
      <c r="Q10" s="181">
        <v>31</v>
      </c>
      <c r="R10" s="181">
        <v>365</v>
      </c>
      <c r="S10" s="181">
        <v>216</v>
      </c>
      <c r="T10" s="181">
        <v>112</v>
      </c>
      <c r="U10" s="181">
        <v>121</v>
      </c>
      <c r="V10" s="181">
        <v>207</v>
      </c>
      <c r="W10" s="181">
        <v>65</v>
      </c>
      <c r="X10" s="188">
        <v>45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793</v>
      </c>
      <c r="AT10" s="192"/>
      <c r="AU10" s="200"/>
      <c r="AV10" s="192"/>
      <c r="AW10" s="200"/>
      <c r="AX10" s="192"/>
      <c r="AY10" s="128">
        <f t="shared" ref="AY10:BC10" si="0">IF(ISNUMBER(S10),S10," - ")</f>
        <v>216</v>
      </c>
      <c r="AZ10" s="129">
        <f t="shared" si="0"/>
        <v>112</v>
      </c>
      <c r="BA10" s="129">
        <f t="shared" si="0"/>
        <v>121</v>
      </c>
      <c r="BB10" s="129">
        <f t="shared" si="0"/>
        <v>207</v>
      </c>
      <c r="BC10" s="125">
        <f t="shared" si="0"/>
        <v>65</v>
      </c>
      <c r="BD10" s="126">
        <f>IF(ISNUMBER(BA10/AZ10),BA10/AZ10," - ")</f>
        <v>1.0803571428571428</v>
      </c>
      <c r="BE10" s="127">
        <f>IF(ISNUMBER(BB10/BA10),BB10/BA10, " - ")</f>
        <v>1.7107438016528926</v>
      </c>
      <c r="BF10" s="127">
        <f>IF(ISNUMBER(BC10/BA10),BC10/BA10, " - ")</f>
        <v>0.53719008264462809</v>
      </c>
      <c r="BG10" s="196">
        <f>IF(ISNUMBER((AY10+AZ10)/BA10),(AY10+AZ10)/BA10," - ")</f>
        <v>2.7107438016528924</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1666</v>
      </c>
      <c r="J11" s="183">
        <v>1258</v>
      </c>
      <c r="K11" s="183">
        <v>1305</v>
      </c>
      <c r="L11" s="183">
        <v>1633</v>
      </c>
      <c r="M11" s="183">
        <v>524</v>
      </c>
      <c r="N11" s="183">
        <v>928</v>
      </c>
      <c r="O11" s="181">
        <v>469</v>
      </c>
      <c r="P11" s="183">
        <v>172</v>
      </c>
      <c r="Q11" s="183">
        <v>188</v>
      </c>
      <c r="R11" s="183">
        <v>1358</v>
      </c>
      <c r="S11" s="183">
        <v>1620</v>
      </c>
      <c r="T11" s="183">
        <v>1297</v>
      </c>
      <c r="U11" s="183">
        <v>1141</v>
      </c>
      <c r="V11" s="183">
        <v>1592</v>
      </c>
      <c r="W11" s="183">
        <v>463</v>
      </c>
      <c r="X11" s="189">
        <v>1318</v>
      </c>
      <c r="Y11" s="191">
        <v>198</v>
      </c>
      <c r="Z11" s="181">
        <v>400</v>
      </c>
      <c r="AA11" s="181">
        <v>408</v>
      </c>
      <c r="AB11" s="181">
        <v>190</v>
      </c>
      <c r="AC11" s="183">
        <v>0</v>
      </c>
      <c r="AD11" s="183">
        <v>0</v>
      </c>
      <c r="AE11" s="183">
        <v>0</v>
      </c>
      <c r="AF11" s="189">
        <v>0</v>
      </c>
      <c r="AG11" s="202">
        <v>193</v>
      </c>
      <c r="AH11" s="183">
        <v>595</v>
      </c>
      <c r="AI11" s="183">
        <v>535</v>
      </c>
      <c r="AJ11" s="203">
        <v>253</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1813</v>
      </c>
      <c r="AZ11" s="127">
        <f t="shared" si="1"/>
        <v>1892</v>
      </c>
      <c r="BA11" s="127">
        <f t="shared" si="1"/>
        <v>1676</v>
      </c>
      <c r="BB11" s="127">
        <f t="shared" si="1"/>
        <v>1845</v>
      </c>
      <c r="BC11" s="125">
        <f>IF(ISNUMBER(X11),X11," - ")</f>
        <v>1318</v>
      </c>
      <c r="BD11" s="126">
        <f t="shared" ref="BD11:BD12" si="2">IF(ISNUMBER(BA11/AZ11),BA11/AZ11," - ")</f>
        <v>0.88583509513742076</v>
      </c>
      <c r="BE11" s="127">
        <f t="shared" ref="BE11:BE12" si="3">IF(ISNUMBER(BB11/BA11),BB11/BA11, " - ")</f>
        <v>1.1008353221957041</v>
      </c>
      <c r="BF11" s="127">
        <f t="shared" ref="BF11:BF12" si="4">IF(ISNUMBER(BC11/BA11),BC11/BA11, " - ")</f>
        <v>0.78639618138424816</v>
      </c>
      <c r="BG11" s="196">
        <f t="shared" ref="BG11:BG12" si="5">IF(ISNUMBER((AY11+AZ11)/BA11),(AY11+AZ11)/BA11," - ")</f>
        <v>2.210620525059666</v>
      </c>
      <c r="BH11" s="155">
        <v>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34721</v>
      </c>
      <c r="J13" s="184">
        <f t="shared" si="6"/>
        <v>11654</v>
      </c>
      <c r="K13" s="184">
        <f t="shared" si="6"/>
        <v>11144</v>
      </c>
      <c r="L13" s="184">
        <f t="shared" si="6"/>
        <v>35247</v>
      </c>
      <c r="M13" s="184">
        <f t="shared" si="6"/>
        <v>3269</v>
      </c>
      <c r="N13" s="184">
        <f t="shared" si="6"/>
        <v>4504</v>
      </c>
      <c r="O13" s="184">
        <f t="shared" si="6"/>
        <v>4860</v>
      </c>
      <c r="P13" s="184">
        <f t="shared" si="6"/>
        <v>2744</v>
      </c>
      <c r="Q13" s="184">
        <f t="shared" si="6"/>
        <v>2058</v>
      </c>
      <c r="R13" s="184">
        <f t="shared" si="6"/>
        <v>38957</v>
      </c>
      <c r="S13" s="184">
        <f t="shared" si="6"/>
        <v>27050</v>
      </c>
      <c r="T13" s="184">
        <f t="shared" si="6"/>
        <v>12369</v>
      </c>
      <c r="U13" s="184">
        <f t="shared" si="6"/>
        <v>9034</v>
      </c>
      <c r="V13" s="184">
        <f t="shared" si="6"/>
        <v>29813</v>
      </c>
      <c r="W13" s="184">
        <f t="shared" si="6"/>
        <v>2571</v>
      </c>
      <c r="X13" s="184">
        <f t="shared" si="6"/>
        <v>4313</v>
      </c>
      <c r="Y13" s="184">
        <f t="shared" si="6"/>
        <v>702</v>
      </c>
      <c r="Z13" s="184">
        <f t="shared" si="6"/>
        <v>642</v>
      </c>
      <c r="AA13" s="184">
        <f t="shared" si="6"/>
        <v>658</v>
      </c>
      <c r="AB13" s="184">
        <f t="shared" si="6"/>
        <v>686</v>
      </c>
      <c r="AC13" s="184">
        <f t="shared" si="6"/>
        <v>0</v>
      </c>
      <c r="AD13" s="184">
        <f t="shared" si="6"/>
        <v>0</v>
      </c>
      <c r="AE13" s="184">
        <f t="shared" si="6"/>
        <v>0</v>
      </c>
      <c r="AF13" s="184">
        <f>SUBTOTAL(9,AF9:AF12)</f>
        <v>0</v>
      </c>
      <c r="AG13" s="184">
        <f t="shared" ref="AG13:AT13" si="7">SUBTOTAL(9,AG8:AG12)</f>
        <v>949</v>
      </c>
      <c r="AH13" s="184">
        <f t="shared" si="7"/>
        <v>872</v>
      </c>
      <c r="AI13" s="184">
        <f t="shared" si="7"/>
        <v>938</v>
      </c>
      <c r="AJ13" s="184">
        <f t="shared" si="7"/>
        <v>883</v>
      </c>
      <c r="AK13" s="184">
        <f t="shared" si="7"/>
        <v>0</v>
      </c>
      <c r="AL13" s="184">
        <f t="shared" si="7"/>
        <v>0</v>
      </c>
      <c r="AM13" s="184">
        <f t="shared" si="7"/>
        <v>0</v>
      </c>
      <c r="AN13" s="184">
        <f t="shared" si="7"/>
        <v>0</v>
      </c>
      <c r="AO13" s="184">
        <f t="shared" si="7"/>
        <v>27</v>
      </c>
      <c r="AP13" s="184">
        <f t="shared" si="7"/>
        <v>27</v>
      </c>
      <c r="AQ13" s="184">
        <f t="shared" si="7"/>
        <v>27</v>
      </c>
      <c r="AR13" s="184">
        <f t="shared" si="7"/>
        <v>27</v>
      </c>
      <c r="AS13" s="184">
        <f t="shared" si="7"/>
        <v>0</v>
      </c>
      <c r="AT13" s="184">
        <f t="shared" si="7"/>
        <v>0</v>
      </c>
      <c r="AU13" s="204"/>
      <c r="AV13" s="132"/>
      <c r="AW13" s="204"/>
      <c r="AX13" s="132"/>
      <c r="AY13" s="184">
        <f>SUBTOTAL(9,AY8:AY12)</f>
        <v>27999</v>
      </c>
      <c r="AZ13" s="184">
        <f>SUBTOTAL(9,AZ8:AZ12)</f>
        <v>13241</v>
      </c>
      <c r="BA13" s="184">
        <f>SUBTOTAL(9,BA8:BA12)</f>
        <v>9972</v>
      </c>
      <c r="BB13" s="184">
        <f>SUBTOTAL(9,BB8:BB12)</f>
        <v>30696</v>
      </c>
      <c r="BC13" s="184">
        <f>SUBTOTAL(9,BC8:BC12)</f>
        <v>4333</v>
      </c>
      <c r="BD13" s="205">
        <f>IF(ISNUMBER(BA13/AZ13),BA13/AZ13," - ")</f>
        <v>0.75311532361604105</v>
      </c>
      <c r="BE13" s="206">
        <f>IF(ISNUMBER(BB13/BA13),BB13/BA13, " - ")</f>
        <v>3.0782190132370637</v>
      </c>
      <c r="BF13" s="206">
        <f>IF(ISNUMBER(BC13/BA13),BC13/BA13, " - ")</f>
        <v>0.43451664661050943</v>
      </c>
      <c r="BG13" s="207">
        <f>IF(ISNUMBER((AY13+AZ13)/BA13),(AY13+AZ13)/BA13," - ")</f>
        <v>4.1355796229442436</v>
      </c>
      <c r="BH13" s="140">
        <f>SUBTOTAL(9,BH8:BH12)</f>
        <v>26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8048</v>
      </c>
      <c r="J15" s="183">
        <v>9856</v>
      </c>
      <c r="K15" s="183">
        <v>10068</v>
      </c>
      <c r="L15" s="183">
        <v>8202</v>
      </c>
      <c r="M15" s="183">
        <v>1429</v>
      </c>
      <c r="N15" s="183">
        <v>5566</v>
      </c>
      <c r="O15" s="181">
        <v>395</v>
      </c>
      <c r="P15" s="183">
        <v>592</v>
      </c>
      <c r="Q15" s="183">
        <v>555</v>
      </c>
      <c r="R15" s="183">
        <v>1314</v>
      </c>
      <c r="S15" s="183">
        <v>6917</v>
      </c>
      <c r="T15" s="183">
        <v>9759</v>
      </c>
      <c r="U15" s="183">
        <v>9948</v>
      </c>
      <c r="V15" s="183">
        <v>6968</v>
      </c>
      <c r="W15" s="183">
        <v>1192</v>
      </c>
      <c r="X15" s="189">
        <v>5961</v>
      </c>
      <c r="Y15" s="202">
        <v>0</v>
      </c>
      <c r="Z15" s="183">
        <v>0</v>
      </c>
      <c r="AA15" s="183">
        <v>0</v>
      </c>
      <c r="AB15" s="183">
        <v>0</v>
      </c>
      <c r="AC15" s="183">
        <v>3</v>
      </c>
      <c r="AD15" s="183">
        <v>74</v>
      </c>
      <c r="AE15" s="183">
        <v>74</v>
      </c>
      <c r="AF15" s="189">
        <v>3</v>
      </c>
      <c r="AG15" s="202">
        <v>0</v>
      </c>
      <c r="AH15" s="183">
        <v>0</v>
      </c>
      <c r="AI15" s="183">
        <v>0</v>
      </c>
      <c r="AJ15" s="203">
        <v>0</v>
      </c>
      <c r="AK15" s="182">
        <v>5</v>
      </c>
      <c r="AL15" s="183">
        <v>65</v>
      </c>
      <c r="AM15" s="183">
        <v>66</v>
      </c>
      <c r="AN15" s="189">
        <v>4</v>
      </c>
      <c r="AO15" s="259">
        <v>12</v>
      </c>
      <c r="AP15" s="155">
        <v>12</v>
      </c>
      <c r="AQ15" s="155">
        <v>12</v>
      </c>
      <c r="AR15" s="155">
        <v>12</v>
      </c>
      <c r="AS15" s="340" t="s">
        <v>527</v>
      </c>
      <c r="AT15" s="203" t="s">
        <v>326</v>
      </c>
      <c r="AU15" s="202"/>
      <c r="AV15" s="203"/>
      <c r="AW15" s="202"/>
      <c r="AX15" s="203"/>
      <c r="AY15" s="128">
        <f t="shared" ref="AY15:BB16" si="9">IF(ISNUMBER(IF(D_I="SI",S15,S15+AK15)),IF(D_I="SI",S15,S15+AK15)," - ")</f>
        <v>6917</v>
      </c>
      <c r="AZ15" s="129">
        <f t="shared" si="9"/>
        <v>9759</v>
      </c>
      <c r="BA15" s="129">
        <f t="shared" si="9"/>
        <v>9948</v>
      </c>
      <c r="BB15" s="129">
        <f t="shared" si="9"/>
        <v>6968</v>
      </c>
      <c r="BC15" s="125">
        <f>IF(ISNUMBER(W15),W15," - ")</f>
        <v>1192</v>
      </c>
      <c r="BD15" s="126">
        <f>IF(ISNUMBER(BA15/AZ15),BA15/AZ15," - ")</f>
        <v>1.0193667383953273</v>
      </c>
      <c r="BE15" s="127">
        <f>IF(ISNUMBER(BB15/BA15),BB15/BA15, " - ")</f>
        <v>0.7004422999597909</v>
      </c>
      <c r="BF15" s="127">
        <f>IF(ISNUMBER(BC15/BA15),BC15/BA15, " - ")</f>
        <v>0.11982308001608363</v>
      </c>
      <c r="BG15" s="196">
        <f t="shared" ref="BG15:BG16" si="10">IF(ISNUMBER((AY15+AZ15)/BA15),(AY15+AZ15)/BA15," - ")</f>
        <v>1.6763168476075594</v>
      </c>
      <c r="BH15" s="155">
        <v>12</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1309</v>
      </c>
      <c r="J17" s="183">
        <v>1312</v>
      </c>
      <c r="K17" s="183">
        <v>1496</v>
      </c>
      <c r="L17" s="183">
        <v>1125</v>
      </c>
      <c r="M17" s="183">
        <v>111</v>
      </c>
      <c r="N17" s="183">
        <v>993</v>
      </c>
      <c r="O17" s="183">
        <v>10</v>
      </c>
      <c r="P17" s="183">
        <v>38</v>
      </c>
      <c r="Q17" s="183">
        <v>15</v>
      </c>
      <c r="R17" s="183">
        <v>52</v>
      </c>
      <c r="S17" s="183">
        <v>1164</v>
      </c>
      <c r="T17" s="183">
        <v>1422</v>
      </c>
      <c r="U17" s="183">
        <v>1366</v>
      </c>
      <c r="V17" s="183">
        <v>1220</v>
      </c>
      <c r="W17" s="183">
        <v>86</v>
      </c>
      <c r="X17" s="189">
        <v>935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792</v>
      </c>
      <c r="AT17" s="209"/>
      <c r="AU17" s="200"/>
      <c r="AV17" s="209"/>
      <c r="AW17" s="200"/>
      <c r="AX17" s="209"/>
      <c r="AY17" s="128">
        <f t="shared" ref="AY17:BB17" si="14">IF(ISNUMBER(S17),S17," - ")</f>
        <v>1164</v>
      </c>
      <c r="AZ17" s="129">
        <f t="shared" si="14"/>
        <v>1422</v>
      </c>
      <c r="BA17" s="129">
        <f t="shared" si="14"/>
        <v>1366</v>
      </c>
      <c r="BB17" s="129">
        <f t="shared" si="14"/>
        <v>1220</v>
      </c>
      <c r="BC17" s="125">
        <f>IF(ISNUMBER(W17),W17," - ")</f>
        <v>86</v>
      </c>
      <c r="BD17" s="126">
        <f>IF(ISNUMBER(BA17/AZ17),BA17/AZ17," - ")</f>
        <v>0.96061884669479602</v>
      </c>
      <c r="BE17" s="127">
        <f>IF(ISNUMBER(BB17/BA17),BB17/BA17, " - ")</f>
        <v>0.89311859443631036</v>
      </c>
      <c r="BF17" s="127">
        <f>IF(ISNUMBER(BC17/BA17),BC17/BA17, " - ")</f>
        <v>6.2957540263543194E-2</v>
      </c>
      <c r="BG17" s="196">
        <f>IF(ISNUMBER((AY17+AZ17)/BA17),(AY17+AZ17)/BA17," - ")</f>
        <v>1.8931185944363105</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9357</v>
      </c>
      <c r="J18" s="184">
        <f t="shared" si="15"/>
        <v>11168</v>
      </c>
      <c r="K18" s="184">
        <f t="shared" si="15"/>
        <v>11564</v>
      </c>
      <c r="L18" s="184">
        <f t="shared" si="15"/>
        <v>9327</v>
      </c>
      <c r="M18" s="184">
        <f t="shared" si="15"/>
        <v>1540</v>
      </c>
      <c r="N18" s="184">
        <f t="shared" si="15"/>
        <v>6559</v>
      </c>
      <c r="O18" s="184">
        <f t="shared" si="15"/>
        <v>405</v>
      </c>
      <c r="P18" s="184">
        <f t="shared" si="15"/>
        <v>630</v>
      </c>
      <c r="Q18" s="184">
        <f t="shared" si="15"/>
        <v>570</v>
      </c>
      <c r="R18" s="184">
        <f t="shared" si="15"/>
        <v>1366</v>
      </c>
      <c r="S18" s="184">
        <f t="shared" si="15"/>
        <v>8081</v>
      </c>
      <c r="T18" s="184">
        <f t="shared" si="15"/>
        <v>11181</v>
      </c>
      <c r="U18" s="184">
        <f t="shared" si="15"/>
        <v>11314</v>
      </c>
      <c r="V18" s="184">
        <f t="shared" si="15"/>
        <v>8188</v>
      </c>
      <c r="W18" s="184">
        <f t="shared" si="15"/>
        <v>1278</v>
      </c>
      <c r="X18" s="184">
        <f t="shared" si="15"/>
        <v>6896</v>
      </c>
      <c r="Y18" s="184">
        <f t="shared" si="15"/>
        <v>0</v>
      </c>
      <c r="Z18" s="184">
        <f t="shared" si="15"/>
        <v>0</v>
      </c>
      <c r="AA18" s="184">
        <f t="shared" si="15"/>
        <v>0</v>
      </c>
      <c r="AB18" s="184">
        <f t="shared" si="15"/>
        <v>0</v>
      </c>
      <c r="AC18" s="184">
        <f t="shared" si="15"/>
        <v>3</v>
      </c>
      <c r="AD18" s="184">
        <f t="shared" si="15"/>
        <v>74</v>
      </c>
      <c r="AE18" s="184">
        <f t="shared" si="15"/>
        <v>74</v>
      </c>
      <c r="AF18" s="184">
        <f t="shared" si="15"/>
        <v>3</v>
      </c>
      <c r="AG18" s="184">
        <f t="shared" si="15"/>
        <v>0</v>
      </c>
      <c r="AH18" s="184">
        <f t="shared" si="15"/>
        <v>0</v>
      </c>
      <c r="AI18" s="184">
        <f t="shared" si="15"/>
        <v>0</v>
      </c>
      <c r="AJ18" s="184">
        <f t="shared" si="15"/>
        <v>0</v>
      </c>
      <c r="AK18" s="184">
        <f t="shared" si="15"/>
        <v>5</v>
      </c>
      <c r="AL18" s="184">
        <f t="shared" si="15"/>
        <v>65</v>
      </c>
      <c r="AM18" s="184">
        <f t="shared" si="15"/>
        <v>66</v>
      </c>
      <c r="AN18" s="184">
        <f t="shared" si="15"/>
        <v>4</v>
      </c>
      <c r="AO18" s="184">
        <f t="shared" si="15"/>
        <v>15</v>
      </c>
      <c r="AP18" s="184">
        <f t="shared" si="15"/>
        <v>15</v>
      </c>
      <c r="AQ18" s="184">
        <f t="shared" si="15"/>
        <v>15</v>
      </c>
      <c r="AR18" s="184">
        <f t="shared" si="15"/>
        <v>15</v>
      </c>
      <c r="AS18" s="184">
        <f t="shared" si="15"/>
        <v>0</v>
      </c>
      <c r="AT18" s="184">
        <f t="shared" si="15"/>
        <v>0</v>
      </c>
      <c r="AU18" s="204"/>
      <c r="AV18" s="132"/>
      <c r="AW18" s="204"/>
      <c r="AX18" s="132"/>
      <c r="AY18" s="184">
        <f>SUBTOTAL(9,AY14:AY17)</f>
        <v>8081</v>
      </c>
      <c r="AZ18" s="184">
        <f>SUBTOTAL(9,AZ14:AZ17)</f>
        <v>11181</v>
      </c>
      <c r="BA18" s="184">
        <f>SUBTOTAL(9,BA14:BA17)</f>
        <v>11314</v>
      </c>
      <c r="BB18" s="184">
        <f>SUBTOTAL(9,BB14:BB17)</f>
        <v>8188</v>
      </c>
      <c r="BC18" s="184">
        <f>SUBTOTAL(9,BC14:BC17)</f>
        <v>1278</v>
      </c>
      <c r="BD18" s="205">
        <f>IF(ISNUMBER(BA18/AZ18),BA18/AZ18," - ")</f>
        <v>1.0118951793220643</v>
      </c>
      <c r="BE18" s="206">
        <f>IF(ISNUMBER(BB18/BA18),BB18/BA18, " - ")</f>
        <v>0.72370514406929465</v>
      </c>
      <c r="BF18" s="206">
        <f>IF(ISNUMBER(BC18/BA18),BC18/BA18, " - ")</f>
        <v>0.11295739791408874</v>
      </c>
      <c r="BG18" s="207">
        <f>IF(ISNUMBER((AY18+AZ18)/BA18),(AY18+AZ18)/BA18," - ")</f>
        <v>1.7024924871840199</v>
      </c>
      <c r="BH18" s="184">
        <f>SUBTOTAL(9,BH14:BH17)</f>
        <v>14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44078</v>
      </c>
      <c r="J19" s="134">
        <f t="shared" si="18"/>
        <v>22822</v>
      </c>
      <c r="K19" s="134">
        <f t="shared" si="18"/>
        <v>22708</v>
      </c>
      <c r="L19" s="134">
        <f t="shared" si="18"/>
        <v>44574</v>
      </c>
      <c r="M19" s="134">
        <f t="shared" si="18"/>
        <v>4809</v>
      </c>
      <c r="N19" s="134">
        <f t="shared" si="18"/>
        <v>11063</v>
      </c>
      <c r="O19" s="134">
        <f t="shared" si="18"/>
        <v>5265</v>
      </c>
      <c r="P19" s="134">
        <f t="shared" si="18"/>
        <v>3374</v>
      </c>
      <c r="Q19" s="134">
        <f t="shared" si="18"/>
        <v>2628</v>
      </c>
      <c r="R19" s="134">
        <f t="shared" si="18"/>
        <v>40323</v>
      </c>
      <c r="S19" s="134">
        <f t="shared" si="18"/>
        <v>35131</v>
      </c>
      <c r="T19" s="134">
        <f t="shared" si="18"/>
        <v>23550</v>
      </c>
      <c r="U19" s="134">
        <f t="shared" si="18"/>
        <v>20348</v>
      </c>
      <c r="V19" s="134">
        <f t="shared" si="18"/>
        <v>38001</v>
      </c>
      <c r="W19" s="134">
        <f t="shared" si="18"/>
        <v>3849</v>
      </c>
      <c r="X19" s="134">
        <f t="shared" si="18"/>
        <v>11209</v>
      </c>
      <c r="Y19" s="134">
        <f t="shared" si="18"/>
        <v>702</v>
      </c>
      <c r="Z19" s="134">
        <f t="shared" si="18"/>
        <v>642</v>
      </c>
      <c r="AA19" s="134">
        <f t="shared" si="18"/>
        <v>658</v>
      </c>
      <c r="AB19" s="134">
        <f t="shared" si="18"/>
        <v>686</v>
      </c>
      <c r="AC19" s="134">
        <f t="shared" si="18"/>
        <v>3</v>
      </c>
      <c r="AD19" s="134">
        <f t="shared" si="18"/>
        <v>74</v>
      </c>
      <c r="AE19" s="134">
        <f t="shared" si="18"/>
        <v>74</v>
      </c>
      <c r="AF19" s="134">
        <f t="shared" si="18"/>
        <v>3</v>
      </c>
      <c r="AG19" s="134">
        <f t="shared" si="18"/>
        <v>949</v>
      </c>
      <c r="AH19" s="134">
        <f t="shared" si="18"/>
        <v>872</v>
      </c>
      <c r="AI19" s="134">
        <f t="shared" si="18"/>
        <v>938</v>
      </c>
      <c r="AJ19" s="134">
        <f t="shared" si="18"/>
        <v>883</v>
      </c>
      <c r="AK19" s="134">
        <f t="shared" si="18"/>
        <v>5</v>
      </c>
      <c r="AL19" s="134">
        <f t="shared" si="18"/>
        <v>65</v>
      </c>
      <c r="AM19" s="134">
        <f t="shared" si="18"/>
        <v>66</v>
      </c>
      <c r="AN19" s="210">
        <f t="shared" si="18"/>
        <v>4</v>
      </c>
      <c r="AO19" s="211">
        <v>39</v>
      </c>
      <c r="AP19" s="211">
        <v>39</v>
      </c>
      <c r="AQ19" s="211">
        <v>39</v>
      </c>
      <c r="AR19" s="211">
        <v>39</v>
      </c>
      <c r="AS19" s="153">
        <f t="shared" si="18"/>
        <v>0</v>
      </c>
      <c r="AT19" s="153">
        <f t="shared" si="18"/>
        <v>0</v>
      </c>
      <c r="AU19" s="211"/>
      <c r="AV19" s="212"/>
      <c r="AW19" s="211"/>
      <c r="AX19" s="212"/>
      <c r="AY19" s="133">
        <f>SUBTOTAL(9,AY9:AY18)</f>
        <v>36080</v>
      </c>
      <c r="AZ19" s="134">
        <f>SUBTOTAL(9,AZ9:AZ18)</f>
        <v>24422</v>
      </c>
      <c r="BA19" s="134">
        <f>SUBTOTAL(9,BA9:BA18)</f>
        <v>21286</v>
      </c>
      <c r="BB19" s="134">
        <f>SUBTOTAL(9,BB9:BB18)</f>
        <v>38884</v>
      </c>
      <c r="BC19" s="135">
        <f>SUBTOTAL(9,BC9:BC18)</f>
        <v>5611</v>
      </c>
      <c r="BD19" s="213">
        <f>IF(ISNUMBER(BA19/AZ19),BA19/AZ19," - ")</f>
        <v>0.87159118827286874</v>
      </c>
      <c r="BE19" s="210">
        <f>IF(ISNUMBER(BB19/BA19),BB19/BA19, " - ")</f>
        <v>1.8267405806633468</v>
      </c>
      <c r="BF19" s="210">
        <f>IF(ISNUMBER(BC19/BA19),BC19/BA19, " - ")</f>
        <v>0.26360048858404583</v>
      </c>
      <c r="BG19" s="135">
        <f>IF(ISNUMBER((AY19+AZ19)/BA19),(AY19+AZ19)/BA19," - ")</f>
        <v>2.8423376867424599</v>
      </c>
      <c r="BH19" s="211">
        <f>SUBTOTAL(9,BH9:BH18)</f>
        <v>40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kw5823gCn2gNq3OqVgEpE+2soT2MemtOqzu9ylp82TmAc4lJXGELY2On6tLqjmkdNKK7TbXMwPawpmoiiy53Q==" saltValue="t7j9J4HZFD9P8Hn1XxGHf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92UK9UMskRrWAT532+ttjaiuNzaep/P0WONyY7FgntYaUf4oTNXWkH5MG85v3c5+udjXXAmY8bhNWGyLWkW9w==" saltValue="X3TgcSU0AeDd+XQZmCx/V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PALMA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20</v>
      </c>
      <c r="B9" s="501" t="s">
        <v>246</v>
      </c>
      <c r="C9" s="160" t="str">
        <f>Datos!A9</f>
        <v xml:space="preserve">Jdos. 1ª Instancia   </v>
      </c>
      <c r="D9" s="502"/>
      <c r="E9" s="260">
        <f>IF(ISNUMBER(Datos!AQ9),Datos!AQ9," - ")</f>
        <v>20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242</v>
      </c>
      <c r="O9" s="334"/>
      <c r="P9" s="334"/>
      <c r="Q9" s="226">
        <f>IF(ISNUMBER(Datos!P9),Datos!P9,0)</f>
        <v>2508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1839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496</v>
      </c>
      <c r="AI9" s="334" t="str">
        <f>IF(ISNUMBER(Datos!CD9),Datos!CD9,"-")</f>
        <v>-</v>
      </c>
      <c r="AJ9" s="334" t="str">
        <f>IF(ISNUMBER(Datos!EN9),Datos!EN9," - ")</f>
        <v xml:space="preserve"> - </v>
      </c>
      <c r="AK9" s="334"/>
      <c r="AL9" s="479"/>
      <c r="AM9" s="335">
        <f>IF(ISNUMBER(Datos!R9),Datos!R9," - ")</f>
        <v>37234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2674</v>
      </c>
      <c r="BD9" s="229">
        <f>IF(ISNUMBER(Datos!N9),Datos!N9," - ")</f>
        <v>3506</v>
      </c>
      <c r="BE9" s="229" t="str">
        <f>IF(ISNUMBER(Datos!BW9),Datos!BW9," - ")</f>
        <v xml:space="preserve"> - </v>
      </c>
      <c r="BF9" s="228" t="str">
        <f>IF(ISNUMBER(Datos!BX9),Datos!BX9," - ")</f>
        <v xml:space="preserve"> - </v>
      </c>
      <c r="BG9" s="243">
        <f>IF(ISNUMBER(IF(J_V="SI",Datos!K9/Datos!J9,(Datos!K9+Datos!AA9)/(Datos!J9+Datos!Z9))),IF(J_V="SI",Datos!K9/Datos!J9,(Datos!K9+Datos!AA9)/(Datos!J9+Datos!Z9))," - ")</f>
        <v>0.95173929663608559</v>
      </c>
      <c r="BH9" s="260">
        <f>IF(ISNUMBER(((IF(J_V="SI",Datos!L9/Datos!K9,(Datos!L9+Datos!AB9)/(Datos!K9+Datos!AA9)))*11)/factor_trimestre),((IF(J_V="SI",Datos!L9/Datos!K9,(Datos!L9+Datos!AB9)/(Datos!K9+Datos!AA9)))*11)/factor_trimestre," - ")</f>
        <v>10.178431569434682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1.8296184876247779E-2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3</v>
      </c>
      <c r="B10" s="507" t="s">
        <v>246</v>
      </c>
      <c r="C10" s="7" t="str">
        <f>Datos!A10</f>
        <v>Jdos. Violencia contra la mujer</v>
      </c>
      <c r="D10" s="508"/>
      <c r="E10" s="260">
        <f>IF(ISNUMBER(Datos!AQ10),Datos!AQ10," - ")</f>
        <v>3</v>
      </c>
      <c r="F10" s="225">
        <f>IF(ISNUMBER(Datos!L10+Datos!K10-Datos!J10),Datos!L10+Datos!K10-Datos!J10," - ")</f>
        <v>277</v>
      </c>
      <c r="G10" s="333">
        <f>IF(ISNUMBER(Datos!I10),Datos!I10," - ")</f>
        <v>277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130</v>
      </c>
      <c r="AC10" s="226">
        <f>IF(ISNUMBER(Datos!Q10),Datos!Q10," - ")</f>
        <v>31</v>
      </c>
      <c r="AD10" s="334"/>
      <c r="AE10" s="484"/>
      <c r="AF10" s="332">
        <f>IF(ISNUMBER(Datos!L10),Datos!L10,"-")</f>
        <v>321</v>
      </c>
      <c r="AG10" s="334"/>
      <c r="AH10" s="334"/>
      <c r="AI10" s="334"/>
      <c r="AJ10" s="334"/>
      <c r="AK10" s="334"/>
      <c r="AL10" s="479"/>
      <c r="AM10" s="335">
        <f>IF(ISNUMBER(Datos!R10),Datos!R10," - ")</f>
        <v>365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71</v>
      </c>
      <c r="BD10" s="229">
        <f>IF(ISNUMBER(Datos!N10),Datos!N10," - ")</f>
        <v>70</v>
      </c>
      <c r="BE10" s="229" t="str">
        <f>IF(ISNUMBER(Datos!BW10),Datos!BW10," - ")</f>
        <v xml:space="preserve"> - </v>
      </c>
      <c r="BF10" s="228" t="str">
        <f>IF(ISNUMBER(Datos!BX10),Datos!BX10," - ")</f>
        <v xml:space="preserve"> - </v>
      </c>
      <c r="BG10" s="243">
        <f>IF(ISNUMBER(Datos!K10/Datos!J10),Datos!K10/Datos!J10," - ")</f>
        <v>0.74712643678160917</v>
      </c>
      <c r="BH10" s="260">
        <f>IF(ISNUMBER(((Datos!L10/Datos!K10)*11)/factor_trimestre),((Datos!L10/Datos!K10)*11)/factor_trimestre," - ")</f>
        <v>7.407692307692308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9.9397590361445784E-2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400</v>
      </c>
      <c r="O11" s="334"/>
      <c r="P11" s="334"/>
      <c r="Q11" s="226">
        <f>IF(ISNUMBER(Datos!P11),Datos!P11,0)</f>
        <v>172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188</v>
      </c>
      <c r="AD11" s="334"/>
      <c r="AE11" s="484"/>
      <c r="AF11" s="332" t="str">
        <f>IF(ISNUMBER(IF(J_V="SI",Datos!L11,Datos!L11+Datos!AB11)-IF(Monitorios="SI",Datos!CD11,0)),
                          IF(J_V="SI",Datos!L11,Datos!L11+Datos!AB11)-IF(Monitorios="SI",Datos!CD11,0),
                          " - ")</f>
        <v xml:space="preserve"> - </v>
      </c>
      <c r="AG11" s="334"/>
      <c r="AH11" s="334">
        <f>IF(ISNUMBER(Datos!AB11),Datos!AB11,"-")</f>
        <v>190</v>
      </c>
      <c r="AI11" s="334"/>
      <c r="AJ11" s="334"/>
      <c r="AK11" s="334"/>
      <c r="AL11" s="479"/>
      <c r="AM11" s="335">
        <f>IF(ISNUMBER(Datos!R11),Datos!R11," - ")</f>
        <v>1358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524</v>
      </c>
      <c r="BD11" s="229">
        <f>IF(ISNUMBER(Datos!N11),Datos!N11," - ")</f>
        <v>928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1.0331724969843186</v>
      </c>
      <c r="BH11" s="260">
        <f>IF(ISNUMBER(((IF(J_V="SI",Datos!L11/Datos!K11,(Datos!L11+Datos!AB11)/(Datos!K11+Datos!AA11)))*11)/factor_trimestre),((IF(J_V="SI",Datos!L11/Datos!K11,(Datos!L11+Datos!AB11)/(Datos!K11+Datos!AA11)))*11)/factor_trimestre," - ")</f>
        <v>3.1926444833625216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-1.1644832605531296E-2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27</v>
      </c>
      <c r="F13" s="898">
        <f t="shared" si="0"/>
        <v>277</v>
      </c>
      <c r="G13" s="898">
        <f t="shared" si="0"/>
        <v>277</v>
      </c>
      <c r="H13" s="899">
        <f t="shared" si="0"/>
        <v>0</v>
      </c>
      <c r="I13" s="898">
        <f t="shared" si="0"/>
        <v>0</v>
      </c>
      <c r="J13" s="867">
        <f t="shared" si="0"/>
        <v>0</v>
      </c>
      <c r="K13" s="867">
        <f t="shared" si="0"/>
        <v>0</v>
      </c>
      <c r="L13" s="899">
        <f t="shared" si="0"/>
        <v>0</v>
      </c>
      <c r="M13" s="899">
        <f t="shared" si="0"/>
        <v>0</v>
      </c>
      <c r="N13" s="899">
        <f t="shared" si="0"/>
        <v>642</v>
      </c>
      <c r="O13" s="900">
        <f t="shared" si="0"/>
        <v>0</v>
      </c>
      <c r="P13" s="900">
        <f t="shared" si="0"/>
        <v>0</v>
      </c>
      <c r="Q13" s="899">
        <f t="shared" si="0"/>
        <v>2744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130</v>
      </c>
      <c r="AC13" s="899">
        <f t="shared" si="1"/>
        <v>2058</v>
      </c>
      <c r="AD13" s="899">
        <f t="shared" si="1"/>
        <v>0</v>
      </c>
      <c r="AE13" s="899">
        <f t="shared" si="1"/>
        <v>0</v>
      </c>
      <c r="AF13" s="899">
        <f t="shared" si="1"/>
        <v>321</v>
      </c>
      <c r="AG13" s="899">
        <f t="shared" si="1"/>
        <v>0</v>
      </c>
      <c r="AH13" s="899">
        <f t="shared" si="1"/>
        <v>686</v>
      </c>
      <c r="AI13" s="899">
        <f t="shared" si="1"/>
        <v>0</v>
      </c>
      <c r="AJ13" s="899">
        <f t="shared" si="1"/>
        <v>0</v>
      </c>
      <c r="AK13" s="899">
        <f t="shared" si="1"/>
        <v>0</v>
      </c>
      <c r="AL13" s="899">
        <f t="shared" si="1"/>
        <v>0</v>
      </c>
      <c r="AM13" s="899">
        <f t="shared" si="1"/>
        <v>38957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3269</v>
      </c>
      <c r="BD13" s="899">
        <f t="shared" si="1"/>
        <v>4504</v>
      </c>
      <c r="BE13" s="899">
        <f t="shared" si="1"/>
        <v>0</v>
      </c>
      <c r="BF13" s="899">
        <f t="shared" si="1"/>
        <v>0</v>
      </c>
      <c r="BG13" s="899">
        <f>IF(ISNUMBER(Datos!K13/Datos!J13),Datos!K13/Datos!J13," - ")</f>
        <v>0.95623820147588812</v>
      </c>
      <c r="BH13" s="903">
        <f>IF(ISNUMBER(((Datos!L13/Datos!K13)*11)/factor_trimestre),((Datos!L13/Datos!K13)*11)/factor_trimestre," - ")</f>
        <v>9.4886037329504678</v>
      </c>
      <c r="BI13" s="899">
        <f>IF(ISNUMBER('Resol  Asuntos'!D13/NºAsuntos!G13),'Resol  Asuntos'!D13/NºAsuntos!G13," - ")</f>
        <v>0.27698695136417556</v>
      </c>
      <c r="BJ13" s="899" t="str">
        <f>IF(ISNUMBER(Datos!CI13/Datos!CJ13),Datos!CI13/Datos!CJ13," - ")</f>
        <v xml:space="preserve"> - </v>
      </c>
      <c r="BK13" s="899">
        <f>SUBTOTAL(9,BK8:BK12)</f>
        <v>0</v>
      </c>
      <c r="BL13" s="899">
        <f>IF(ISNUMBER((I13-AB13+L13)/(F13)),(I13-AB13+L13)/(F13)," - ")</f>
        <v>-0.46931407942238268</v>
      </c>
      <c r="BM13" s="904">
        <f>SUBTOTAL(9,BM9:BM12)</f>
        <v>0.10604894263216226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12</v>
      </c>
      <c r="B15" s="594" t="s">
        <v>396</v>
      </c>
      <c r="C15" s="600" t="str">
        <f>Datos!A15</f>
        <v xml:space="preserve">Jdos. Instrucción                               </v>
      </c>
      <c r="D15" s="601"/>
      <c r="E15" s="1165">
        <f>IF(ISNUMBER(Datos!AQ15),Datos!AQ15," - ")</f>
        <v>12</v>
      </c>
      <c r="F15" s="595">
        <f>IF(ISNUMBER(AF15+AB15-Datos!J15-L15),AF15+AB15-Datos!J15-L15," - ")</f>
        <v>8414</v>
      </c>
      <c r="G15" s="598">
        <f>IF(ISNUMBER(IF(D_I="SI",Datos!I15,Datos!I15+Datos!AC15)),IF(D_I="SI",Datos!I15,Datos!I15+Datos!AC15)," - ")</f>
        <v>8048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592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10068</v>
      </c>
      <c r="AC15" s="226">
        <f>IF(ISNUMBER(Datos!Q15),Datos!Q15," - ")</f>
        <v>555</v>
      </c>
      <c r="AD15" s="334"/>
      <c r="AE15" s="484"/>
      <c r="AF15" s="596">
        <f>IF(ISNUMBER(IF(D_I="SI",Datos!L15,Datos!L15+Datos!AF15)),IF(D_I="SI",Datos!L15,Datos!L15+Datos!AF15)," - ")</f>
        <v>8202</v>
      </c>
      <c r="AG15" s="334"/>
      <c r="AH15" s="334"/>
      <c r="AI15" s="334"/>
      <c r="AJ15" s="334"/>
      <c r="AK15" s="334"/>
      <c r="AL15" s="479"/>
      <c r="AM15" s="335">
        <f>IF(ISNUMBER(Datos!R15),Datos!R15," - ")</f>
        <v>1314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1429</v>
      </c>
      <c r="BD15" s="229">
        <f>IF(ISNUMBER(Datos!N15),Datos!N15," - ")</f>
        <v>5566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1.0215097402597402</v>
      </c>
      <c r="BH15" s="260">
        <f>IF(ISNUMBER(((IF(D_I="SI",Datos!L15/Datos!K15,(Datos!L15+Datos!AF15)/(Datos!K15+Datos!AE15)))*11)/factor_trimestre),((IF(D_I="SI",Datos!L15/Datos!K15,(Datos!L15+Datos!AF15)/(Datos!K15+Datos!AE15)))*11)/factor_trimestre," - ")</f>
        <v>2.4439809296781885</v>
      </c>
      <c r="BI15" s="243">
        <f>IF(ISNUMBER('Resol  Asuntos'!D15/NºAsuntos!G15),'Resol  Asuntos'!D15/NºAsuntos!G15," - ")</f>
        <v>0.14193484306714343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1309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1496</v>
      </c>
      <c r="AC17" s="226">
        <f>IF(ISNUMBER(Datos!Q17),Datos!Q17," - ")</f>
        <v>15</v>
      </c>
      <c r="AD17" s="334"/>
      <c r="AE17" s="484"/>
      <c r="AF17" s="332">
        <f>IF(ISNUMBER(Datos!L17),Datos!L17,"-")</f>
        <v>1125</v>
      </c>
      <c r="AG17" s="334"/>
      <c r="AH17" s="334"/>
      <c r="AI17" s="334"/>
      <c r="AJ17" s="334"/>
      <c r="AK17" s="334"/>
      <c r="AL17" s="479"/>
      <c r="AM17" s="335">
        <f>IF(ISNUMBER(Datos!R17),Datos!R17," - ")</f>
        <v>52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111</v>
      </c>
      <c r="BD17" s="229">
        <f>IF(ISNUMBER(Datos!N17),Datos!N17," - ")</f>
        <v>993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1.1402439024390243</v>
      </c>
      <c r="BH17" s="260">
        <f>IF(ISNUMBER(((IF(D_I="SI",Datos!L17/Datos!K17,(Datos!L17+Datos!AF17)/(Datos!K17+Datos!AE17)))*11)/factor_trimestre),((IF(D_I="SI",Datos!L17/Datos!K17,(Datos!L17+Datos!AF17)/(Datos!K17+Datos!AE17)))*11)/factor_trimestre," - ")</f>
        <v>2.2560160427807485</v>
      </c>
      <c r="BI17" s="243">
        <f>IF(ISNUMBER('Resol  Asuntos'!D17/NºAsuntos!G17),'Resol  Asuntos'!D17/NºAsuntos!G17," - ")</f>
        <v>7.419786096256685E-2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15</v>
      </c>
      <c r="F18" s="898">
        <f>SUBTOTAL(9,F15:F17)</f>
        <v>8414</v>
      </c>
      <c r="G18" s="898">
        <f>SUBTOTAL(9,G15:G17)</f>
        <v>9357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630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11564</v>
      </c>
      <c r="AC18" s="899">
        <f t="shared" si="4"/>
        <v>570</v>
      </c>
      <c r="AD18" s="899">
        <f t="shared" si="4"/>
        <v>0</v>
      </c>
      <c r="AE18" s="899">
        <f t="shared" si="4"/>
        <v>0</v>
      </c>
      <c r="AF18" s="899">
        <f t="shared" si="4"/>
        <v>9327</v>
      </c>
      <c r="AG18" s="899">
        <f t="shared" si="4"/>
        <v>0</v>
      </c>
      <c r="AH18" s="899">
        <f t="shared" si="4"/>
        <v>0</v>
      </c>
      <c r="AI18" s="899">
        <f t="shared" si="4"/>
        <v>0</v>
      </c>
      <c r="AJ18" s="899">
        <f t="shared" si="4"/>
        <v>0</v>
      </c>
      <c r="AK18" s="899">
        <f t="shared" si="4"/>
        <v>0</v>
      </c>
      <c r="AL18" s="899">
        <f t="shared" si="4"/>
        <v>0</v>
      </c>
      <c r="AM18" s="899">
        <f t="shared" si="4"/>
        <v>1366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1540</v>
      </c>
      <c r="BD18" s="899">
        <f t="shared" si="4"/>
        <v>6559</v>
      </c>
      <c r="BE18" s="899">
        <f t="shared" si="4"/>
        <v>0</v>
      </c>
      <c r="BF18" s="899">
        <f t="shared" si="4"/>
        <v>0</v>
      </c>
      <c r="BG18" s="899">
        <f>IF(ISNUMBER(Datos!K18/Datos!J18),Datos!K18/Datos!J18," - ")</f>
        <v>1.0354584527220629</v>
      </c>
      <c r="BH18" s="903">
        <f>IF(ISNUMBER(((Datos!L18/Datos!K18)*11)/factor_trimestre),((Datos!L18/Datos!K18)*11)/factor_trimestre," - ")</f>
        <v>2.4196644759598755</v>
      </c>
      <c r="BI18" s="899">
        <f>SUBTOTAL(9,BI15:BI17)</f>
        <v>0.2161327040297103</v>
      </c>
      <c r="BJ18" s="899">
        <f>SUBTOTAL(9,BJ15:BJ17)</f>
        <v>0</v>
      </c>
      <c r="BK18" s="899">
        <f>SUBTOTAL(9,BK15:BK17)</f>
        <v>0</v>
      </c>
      <c r="BL18" s="899">
        <f>IF(ISNUMBER((I18-AB18+L18)/(F18)),(I18-AB18+L18)/(F18)," - ")</f>
        <v>-1.3743760399334441</v>
      </c>
      <c r="BM18" s="905">
        <f>IF(ISNUMBER((Datos!P18-Datos!Q18)/(Datos!R18-Datos!P18+Datos!Q18)),(Datos!P18-Datos!Q18)/(Datos!R18-Datos!P18+Datos!Q18)," - ")</f>
        <v>4.5941807044410414E-2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42</v>
      </c>
      <c r="F19" s="820">
        <f t="shared" si="6"/>
        <v>8691</v>
      </c>
      <c r="G19" s="820">
        <f t="shared" si="6"/>
        <v>9634</v>
      </c>
      <c r="H19" s="822">
        <f t="shared" si="6"/>
        <v>0</v>
      </c>
      <c r="I19" s="820">
        <f t="shared" si="6"/>
        <v>0</v>
      </c>
      <c r="J19" s="822">
        <f t="shared" si="6"/>
        <v>0</v>
      </c>
      <c r="K19" s="822">
        <f t="shared" si="6"/>
        <v>0</v>
      </c>
      <c r="L19" s="881">
        <f t="shared" si="6"/>
        <v>0</v>
      </c>
      <c r="M19" s="881">
        <f t="shared" si="6"/>
        <v>0</v>
      </c>
      <c r="N19" s="881">
        <f t="shared" si="6"/>
        <v>642</v>
      </c>
      <c r="O19" s="881">
        <f t="shared" si="6"/>
        <v>0</v>
      </c>
      <c r="P19" s="881">
        <f t="shared" si="6"/>
        <v>0</v>
      </c>
      <c r="Q19" s="822">
        <f t="shared" si="6"/>
        <v>3374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11694</v>
      </c>
      <c r="AC19" s="821">
        <f t="shared" si="7"/>
        <v>2628</v>
      </c>
      <c r="AD19" s="821">
        <f t="shared" si="7"/>
        <v>0</v>
      </c>
      <c r="AE19" s="821">
        <f t="shared" si="7"/>
        <v>0</v>
      </c>
      <c r="AF19" s="828">
        <f t="shared" si="7"/>
        <v>9648</v>
      </c>
      <c r="AG19" s="828">
        <f t="shared" si="7"/>
        <v>0</v>
      </c>
      <c r="AH19" s="828">
        <f t="shared" si="7"/>
        <v>686</v>
      </c>
      <c r="AI19" s="828">
        <f t="shared" si="7"/>
        <v>0</v>
      </c>
      <c r="AJ19" s="821">
        <f t="shared" si="7"/>
        <v>0</v>
      </c>
      <c r="AK19" s="828">
        <f t="shared" si="7"/>
        <v>0</v>
      </c>
      <c r="AL19" s="828">
        <f t="shared" si="7"/>
        <v>0</v>
      </c>
      <c r="AM19" s="828">
        <f t="shared" si="7"/>
        <v>40323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4809</v>
      </c>
      <c r="BD19" s="820">
        <f t="shared" si="7"/>
        <v>11063</v>
      </c>
      <c r="BE19" s="820">
        <f t="shared" si="7"/>
        <v>0</v>
      </c>
      <c r="BF19" s="830">
        <f t="shared" si="7"/>
        <v>0</v>
      </c>
      <c r="BG19" s="915">
        <f>IF(ISNUMBER(Datos!K19/Datos!J19),Datos!K19/Datos!J19," - ")</f>
        <v>0.99500481991061251</v>
      </c>
      <c r="BH19" s="915">
        <f>IF(ISNUMBER(((Datos!L19/Datos!K19)*11)/factor_trimestre),((Datos!L19/Datos!K19)*11)/factor_trimestre," - ")</f>
        <v>5.8887616698960725</v>
      </c>
      <c r="BI19" s="813">
        <f>IF(ISNUMBER(Datos!J19/Datos!I19),Datos!J19/Datos!I19," - ")</f>
        <v>0.5177639638822088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-1.3455298584742836</v>
      </c>
      <c r="BM19" s="889">
        <f>IF(ISNUMBER((Datos!P19-Datos!Q19+R19)/(Datos!R19-Datos!P19+Datos!Q19-R19)),(Datos!P19-Datos!Q19+R19)/(Datos!R19-Datos!P19+Datos!Q19-R19)," - ")</f>
        <v>1.8849331682542891E-2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3853.6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9.6695398029068578</v>
      </c>
      <c r="F21" s="551">
        <f>IF(ISNUMBER(STDEV(F8:F18)),STDEV(F8:F18),"-")</f>
        <v>4697.8991403959844</v>
      </c>
      <c r="G21" s="552">
        <f>IF(ISNUMBER(STDEV(G8:G18)),STDEV(G8:G18),"-")</f>
        <v>4470.4453693116529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5656.0327792543776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1246.8015078592102</v>
      </c>
      <c r="BD21" s="551"/>
      <c r="BE21" s="551">
        <f>IF(ISNUMBER(STDEV(BE8:BE18)),STDEV(BE8:BE18),"-")</f>
        <v>0</v>
      </c>
      <c r="BF21" s="556">
        <f>IF(ISNUMBER(STDEV(BF8:BF18)),STDEV(BF8:BF18),"-")</f>
        <v>0</v>
      </c>
      <c r="BG21" s="775">
        <f>IF(ISNUMBER(STDEV(BG8:BG18)),STDEV(BG8:BG18),"-")</f>
        <v>0.12165846922143785</v>
      </c>
      <c r="BH21" s="776">
        <f>IF(ISNUMBER(STDEV(BH8:BH18)),STDEV(BH8:BH18),"-")</f>
        <v>3.5574816979865487</v>
      </c>
      <c r="BI21" s="249">
        <f>IF(ISNUMBER(STDEV(BI8:BI18)),STDEV(BI8:BI18),"-")</f>
        <v>8.8178251075392761E-2</v>
      </c>
      <c r="BJ21" s="230" t="str">
        <f>IF(ISNUMBER(BL21/BM21),BL21/BM21," - ")</f>
        <v xml:space="preserve"> - </v>
      </c>
      <c r="BK21" s="575"/>
      <c r="BL21" s="559">
        <f>IF(ISNUMBER(STDEV(BL8:BL18)),STDEV(BL8:BL18),"-")</f>
        <v>0.63997544967136288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7K1tTWw39CI9Y9wZpt6b0lSRIotTw6Od1D62FIGbHS3MSkSqpvgDb5849wYlmBMA0TIDDU9y/4zRL8uA0aB3A==" saltValue="q4WC+3Lo15A7Iyn7Gu6xi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PALMA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20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2508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1839</v>
      </c>
      <c r="AA9" s="332" t="str">
        <f>IF(ISNUMBER(IF(J_V="SI",Datos!L9,Datos!L9+Datos!AB9)-IF(Monitorios="SI",Datos!CD9,0)),
                          IF(J_V="SI",Datos!L9,Datos!L9+Datos!AB9)-IF(Monitorios="SI",Datos!CD9,0),
                          " - ")</f>
        <v xml:space="preserve"> - </v>
      </c>
      <c r="AB9" s="334"/>
      <c r="AC9" s="334"/>
      <c r="AD9" s="484"/>
      <c r="AE9" s="484">
        <f>IF(ISNUMBER(Datos!R9),Datos!R9," - ")</f>
        <v>37234</v>
      </c>
      <c r="AF9" s="229" t="str">
        <f>IF(ISNUMBER(Datos!BV9),Datos!BV9," - ")</f>
        <v xml:space="preserve"> - </v>
      </c>
      <c r="AG9" s="225" t="str">
        <f>IF(ISNUMBER(Datos!DV9),Datos!DV9," - ")</f>
        <v xml:space="preserve"> - </v>
      </c>
      <c r="AH9" s="298"/>
      <c r="AI9" s="227"/>
      <c r="AJ9" s="225">
        <f>IF(ISNUMBER(Datos!M9),Datos!M9," - ")</f>
        <v>2674</v>
      </c>
      <c r="AK9" s="229">
        <f>IF(ISNUMBER(Datos!N9),Datos!N9," - ")</f>
        <v>3506</v>
      </c>
      <c r="AL9" s="229" t="str">
        <f>IF(ISNUMBER(Datos!BW9),Datos!BW9," - ")</f>
        <v xml:space="preserve"> - </v>
      </c>
      <c r="AM9" s="228" t="str">
        <f>IF(ISNUMBER(Datos!BX9),Datos!BX9," - ")</f>
        <v xml:space="preserve"> - </v>
      </c>
      <c r="AN9" s="243"/>
      <c r="AO9" s="260">
        <f>IF(ISNUMBER(((NºAsuntos!I9/NºAsuntos!G9)*11)/factor_trimestre),((NºAsuntos!I9/NºAsuntos!G9)*11)/factor_trimestre," - ")</f>
        <v>10.178431569434682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1.8296184876247779E-2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3</v>
      </c>
      <c r="B10" s="507" t="s">
        <v>246</v>
      </c>
      <c r="C10" s="7" t="str">
        <f>Datos!A10</f>
        <v>Jdos. Violencia contra la mujer</v>
      </c>
      <c r="D10" s="508"/>
      <c r="E10" s="1168">
        <f>IF(ISNUMBER(Datos!AQ10),Datos!AQ10," - ")</f>
        <v>3</v>
      </c>
      <c r="F10" s="225">
        <f>IF(ISNUMBER(Datos!L10+Datos!K10-Datos!J10),Datos!L10+Datos!K10-Datos!J10," - ")</f>
        <v>277</v>
      </c>
      <c r="G10" s="225">
        <f>IF(ISNUMBER(Datos!I10),Datos!I10," - ")</f>
        <v>277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130</v>
      </c>
      <c r="Z10" s="619">
        <f>IF(ISNUMBER(Datos!Q10),Datos!Q10," - ")</f>
        <v>31</v>
      </c>
      <c r="AA10" s="332">
        <f>IF(ISNUMBER(Datos!L10),Datos!L10,"-")</f>
        <v>321</v>
      </c>
      <c r="AB10" s="334"/>
      <c r="AC10" s="334"/>
      <c r="AD10" s="484"/>
      <c r="AE10" s="484">
        <f>IF(ISNUMBER(Datos!R10),Datos!R10," - ")</f>
        <v>365</v>
      </c>
      <c r="AF10" s="229" t="str">
        <f>IF(ISNUMBER(Datos!BV10),Datos!BV10," - ")</f>
        <v xml:space="preserve"> - </v>
      </c>
      <c r="AG10" s="225" t="str">
        <f>IF(ISNUMBER(Datos!DV10),Datos!DV10," - ")</f>
        <v xml:space="preserve"> - </v>
      </c>
      <c r="AH10" s="298"/>
      <c r="AI10" s="227"/>
      <c r="AJ10" s="225">
        <f>IF(ISNUMBER(Datos!M10),Datos!M10," - ")</f>
        <v>71</v>
      </c>
      <c r="AK10" s="229">
        <f>IF(ISNUMBER(Datos!N10),Datos!N10," - ")</f>
        <v>70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7.407692307692308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9.9397590361445784E-2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172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188</v>
      </c>
      <c r="AA11" s="332" t="str">
        <f>IF(ISNUMBER(IF(J_V="SI",Datos!L11,Datos!L11+Datos!AB11)-IF(Monitorios="SI",Datos!CD11,0)),
                          IF(J_V="SI",Datos!L11,Datos!L11+Datos!AB11)-IF(Monitorios="SI",Datos!CD11,0),
                          " - ")</f>
        <v xml:space="preserve"> - </v>
      </c>
      <c r="AB11" s="334"/>
      <c r="AC11" s="334"/>
      <c r="AD11" s="484"/>
      <c r="AE11" s="484">
        <f>IF(ISNUMBER(Datos!R11),Datos!R11," - ")</f>
        <v>1358</v>
      </c>
      <c r="AF11" s="229" t="str">
        <f>IF(ISNUMBER(Datos!BV11),Datos!BV11," - ")</f>
        <v xml:space="preserve"> - </v>
      </c>
      <c r="AG11" s="225" t="str">
        <f>IF(ISNUMBER(Datos!DV11),Datos!DV11," - ")</f>
        <v xml:space="preserve"> - </v>
      </c>
      <c r="AH11" s="298"/>
      <c r="AI11" s="227"/>
      <c r="AJ11" s="225">
        <f>IF(ISNUMBER(Datos!M11),Datos!M11," - ")</f>
        <v>524</v>
      </c>
      <c r="AK11" s="229">
        <f>IF(ISNUMBER(Datos!N11),Datos!N11," - ")</f>
        <v>928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3.1926444833625216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-1.1644832605531296E-2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27</v>
      </c>
      <c r="F13" s="898">
        <f>SUBTOTAL(9,F8:F12)</f>
        <v>277</v>
      </c>
      <c r="G13" s="898">
        <f>SUBTOTAL(9,G8:G12)</f>
        <v>277</v>
      </c>
      <c r="H13" s="908"/>
      <c r="I13" s="898">
        <f t="shared" ref="I13:N13" si="0">SUBTOTAL(9,I8:I12)</f>
        <v>0</v>
      </c>
      <c r="J13" s="867">
        <f t="shared" si="0"/>
        <v>0</v>
      </c>
      <c r="K13" s="908">
        <f t="shared" si="0"/>
        <v>0</v>
      </c>
      <c r="L13" s="908">
        <f t="shared" si="0"/>
        <v>0</v>
      </c>
      <c r="M13" s="908">
        <f t="shared" si="0"/>
        <v>0</v>
      </c>
      <c r="N13" s="908">
        <f t="shared" si="0"/>
        <v>2744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130</v>
      </c>
      <c r="Z13" s="907">
        <f t="shared" si="2"/>
        <v>2058</v>
      </c>
      <c r="AA13" s="900">
        <f t="shared" si="2"/>
        <v>321</v>
      </c>
      <c r="AB13" s="900">
        <f t="shared" si="2"/>
        <v>0</v>
      </c>
      <c r="AC13" s="900">
        <f t="shared" si="2"/>
        <v>0</v>
      </c>
      <c r="AD13" s="900">
        <f t="shared" si="2"/>
        <v>0</v>
      </c>
      <c r="AE13" s="900">
        <f t="shared" si="2"/>
        <v>38957</v>
      </c>
      <c r="AF13" s="908">
        <f t="shared" si="2"/>
        <v>0</v>
      </c>
      <c r="AG13" s="908">
        <f t="shared" si="2"/>
        <v>0</v>
      </c>
      <c r="AH13" s="908">
        <f t="shared" si="2"/>
        <v>0</v>
      </c>
      <c r="AI13" s="908">
        <f t="shared" si="2"/>
        <v>0</v>
      </c>
      <c r="AJ13" s="908">
        <f t="shared" si="2"/>
        <v>3269</v>
      </c>
      <c r="AK13" s="908">
        <f t="shared" si="2"/>
        <v>4504</v>
      </c>
      <c r="AL13" s="908">
        <f t="shared" si="2"/>
        <v>0</v>
      </c>
      <c r="AM13" s="908">
        <f t="shared" si="2"/>
        <v>0</v>
      </c>
      <c r="AN13" s="908">
        <f t="shared" si="2"/>
        <v>0</v>
      </c>
      <c r="AO13" s="904">
        <f>IF(ISNUMBER(((NºAsuntos!I13/NºAsuntos!G13)*11)/factor_trimestre),((NºAsuntos!I13/NºAsuntos!G13)*11)/factor_trimestre," - ")</f>
        <v>9.1339603457041196</v>
      </c>
      <c r="AP13" s="910" t="str">
        <f>IF(ISNUMBER(Datos!CI13/Datos!CJ13),Datos!CI13/Datos!CJ13," - ")</f>
        <v xml:space="preserve"> - </v>
      </c>
      <c r="AQ13" s="928">
        <f t="shared" ref="AQ13:AV13" si="3">SUBTOTAL(9,AQ9:AQ12)</f>
        <v>0</v>
      </c>
      <c r="AR13" s="928">
        <f t="shared" si="3"/>
        <v>0.10604894263216226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12</v>
      </c>
      <c r="B15" s="507" t="s">
        <v>396</v>
      </c>
      <c r="C15" s="160" t="str">
        <f>Datos!A15</f>
        <v xml:space="preserve">Jdos. Instrucción                               </v>
      </c>
      <c r="D15" s="502"/>
      <c r="E15" s="1168">
        <f>IF(ISNUMBER(Datos!AQ15),Datos!AQ15," - ")</f>
        <v>12</v>
      </c>
      <c r="F15" s="333">
        <f>IF(ISNUMBER(AA15+Y15-Datos!J15-K15),AA15+Y15-Datos!J15-K15," - ")</f>
        <v>8414</v>
      </c>
      <c r="G15" s="225">
        <f>IF(ISNUMBER(IF(D_I="SI",Datos!I15,Datos!I15+Datos!AC15)),IF(D_I="SI",Datos!I15,Datos!I15+Datos!AC15)," - ")</f>
        <v>8048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592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10068</v>
      </c>
      <c r="Z15" s="619">
        <f>IF(ISNUMBER(Datos!Q15),Datos!Q15," - ")</f>
        <v>555</v>
      </c>
      <c r="AA15" s="332">
        <f>IF(ISNUMBER(IF(D_I="SI",Datos!L15,Datos!L15+Datos!AF15)),IF(D_I="SI",Datos!L15,Datos!L15+Datos!AF15)," - ")</f>
        <v>8202</v>
      </c>
      <c r="AB15" s="334"/>
      <c r="AC15" s="334"/>
      <c r="AD15" s="484"/>
      <c r="AE15" s="484">
        <f>IF(ISNUMBER(Datos!R15),Datos!R15," - ")</f>
        <v>1314</v>
      </c>
      <c r="AF15" s="229" t="str">
        <f>IF(ISNUMBER(Datos!BV15),Datos!BV15," - ")</f>
        <v xml:space="preserve"> - </v>
      </c>
      <c r="AG15" s="225"/>
      <c r="AH15" s="298"/>
      <c r="AI15" s="227"/>
      <c r="AJ15" s="225">
        <f>IF(ISNUMBER(Datos!M15),Datos!M15," - ")</f>
        <v>1429</v>
      </c>
      <c r="AK15" s="229">
        <f>IF(ISNUMBER(Datos!N15),Datos!N15," - ")</f>
        <v>5566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2.4439809296781885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1309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1496</v>
      </c>
      <c r="Z17" s="619">
        <f>IF(ISNUMBER(Datos!Q17),Datos!Q17," - ")</f>
        <v>15</v>
      </c>
      <c r="AA17" s="332">
        <f>IF(ISNUMBER(Datos!L17),Datos!L17,"-")</f>
        <v>1125</v>
      </c>
      <c r="AB17" s="334"/>
      <c r="AC17" s="334"/>
      <c r="AD17" s="484"/>
      <c r="AE17" s="484">
        <f>IF(ISNUMBER(Datos!R17),Datos!R17," - ")</f>
        <v>52</v>
      </c>
      <c r="AF17" s="229" t="str">
        <f>IF(ISNUMBER(Datos!BV17),Datos!BV17," - ")</f>
        <v xml:space="preserve"> - </v>
      </c>
      <c r="AG17" s="225" t="str">
        <f>IF(ISNUMBER(Datos!DV17),Datos!DV17," - ")</f>
        <v xml:space="preserve"> - </v>
      </c>
      <c r="AH17" s="298"/>
      <c r="AI17" s="227"/>
      <c r="AJ17" s="225">
        <f>IF(ISNUMBER(Datos!M17),Datos!M17," - ")</f>
        <v>111</v>
      </c>
      <c r="AK17" s="229">
        <f>IF(ISNUMBER(Datos!N17),Datos!N17," - ")</f>
        <v>993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2.2560160427807485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15</v>
      </c>
      <c r="F18" s="898">
        <f>SUBTOTAL(9,F15:F17)</f>
        <v>8414</v>
      </c>
      <c r="G18" s="898">
        <f>SUBTOTAL(9,G15:G17)</f>
        <v>9357</v>
      </c>
      <c r="H18" s="932">
        <f>SUBTOTAL(9,H15:H17)</f>
        <v>0</v>
      </c>
      <c r="I18" s="911">
        <f>SUBTOTAL(9,I15:I17)</f>
        <v>0</v>
      </c>
      <c r="J18" s="867">
        <f>SUBTOTAL(9,J14:J17)</f>
        <v>0</v>
      </c>
      <c r="K18" s="932">
        <f t="shared" ref="K18:S18" si="4">SUBTOTAL(9,K15:K17)</f>
        <v>0</v>
      </c>
      <c r="L18" s="932">
        <f t="shared" si="4"/>
        <v>0</v>
      </c>
      <c r="M18" s="932">
        <f t="shared" si="4"/>
        <v>0</v>
      </c>
      <c r="N18" s="932">
        <f t="shared" si="4"/>
        <v>630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11564</v>
      </c>
      <c r="Z18" s="932">
        <f t="shared" si="5"/>
        <v>570</v>
      </c>
      <c r="AA18" s="932">
        <f t="shared" si="5"/>
        <v>9327</v>
      </c>
      <c r="AB18" s="932">
        <f t="shared" si="5"/>
        <v>0</v>
      </c>
      <c r="AC18" s="932">
        <f t="shared" si="5"/>
        <v>0</v>
      </c>
      <c r="AD18" s="932">
        <f t="shared" si="5"/>
        <v>0</v>
      </c>
      <c r="AE18" s="932">
        <f t="shared" si="5"/>
        <v>1366</v>
      </c>
      <c r="AF18" s="932">
        <f t="shared" si="5"/>
        <v>0</v>
      </c>
      <c r="AG18" s="932">
        <f t="shared" si="5"/>
        <v>0</v>
      </c>
      <c r="AH18" s="932">
        <f t="shared" si="5"/>
        <v>0</v>
      </c>
      <c r="AI18" s="932">
        <f t="shared" si="5"/>
        <v>0</v>
      </c>
      <c r="AJ18" s="932">
        <f t="shared" si="5"/>
        <v>1540</v>
      </c>
      <c r="AK18" s="932">
        <f t="shared" si="5"/>
        <v>6559</v>
      </c>
      <c r="AL18" s="932">
        <f t="shared" si="5"/>
        <v>0</v>
      </c>
      <c r="AM18" s="932">
        <f t="shared" si="5"/>
        <v>0</v>
      </c>
      <c r="AN18" s="932">
        <f t="shared" si="5"/>
        <v>0</v>
      </c>
      <c r="AO18" s="934">
        <f>IF(ISNUMBER(((NºAsuntos!I18/NºAsuntos!G18)*11)/factor_trimestre),((NºAsuntos!I18/NºAsuntos!G18)*11)/factor_trimestre," - ")</f>
        <v>2.4196644759598755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42</v>
      </c>
      <c r="F19" s="820">
        <f t="shared" si="7"/>
        <v>8691</v>
      </c>
      <c r="G19" s="820">
        <f t="shared" si="7"/>
        <v>9634</v>
      </c>
      <c r="H19" s="821">
        <f t="shared" si="7"/>
        <v>0</v>
      </c>
      <c r="I19" s="820">
        <f t="shared" si="7"/>
        <v>0</v>
      </c>
      <c r="J19" s="822">
        <f t="shared" si="7"/>
        <v>0</v>
      </c>
      <c r="K19" s="820">
        <f t="shared" si="7"/>
        <v>0</v>
      </c>
      <c r="L19" s="823">
        <f t="shared" si="7"/>
        <v>0</v>
      </c>
      <c r="M19" s="820">
        <f t="shared" si="7"/>
        <v>0</v>
      </c>
      <c r="N19" s="821">
        <f t="shared" si="7"/>
        <v>3374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11694</v>
      </c>
      <c r="Z19" s="827">
        <f t="shared" si="8"/>
        <v>2628</v>
      </c>
      <c r="AA19" s="828">
        <f t="shared" si="8"/>
        <v>9648</v>
      </c>
      <c r="AB19" s="828">
        <f t="shared" si="8"/>
        <v>0</v>
      </c>
      <c r="AC19" s="828">
        <f t="shared" si="8"/>
        <v>0</v>
      </c>
      <c r="AD19" s="829">
        <f t="shared" si="8"/>
        <v>0</v>
      </c>
      <c r="AE19" s="829">
        <f t="shared" si="8"/>
        <v>40323</v>
      </c>
      <c r="AF19" s="830">
        <f t="shared" si="8"/>
        <v>0</v>
      </c>
      <c r="AG19" s="831">
        <f t="shared" si="8"/>
        <v>0</v>
      </c>
      <c r="AH19" s="832">
        <f t="shared" si="8"/>
        <v>0</v>
      </c>
      <c r="AI19" s="830">
        <f t="shared" si="8"/>
        <v>0</v>
      </c>
      <c r="AJ19" s="820">
        <f t="shared" si="8"/>
        <v>4809</v>
      </c>
      <c r="AK19" s="820">
        <f t="shared" si="8"/>
        <v>11063</v>
      </c>
      <c r="AL19" s="820">
        <f t="shared" si="8"/>
        <v>0</v>
      </c>
      <c r="AM19" s="833">
        <f t="shared" si="8"/>
        <v>0</v>
      </c>
      <c r="AN19" s="823">
        <f>IF(ISNUMBER(Datos!K19/Datos!J19),Datos!K19/Datos!J19," - ")</f>
        <v>0.99500481991061251</v>
      </c>
      <c r="AO19" s="823">
        <f>IF(ISNUMBER(FIND("06",Criterios!A8,1)),(IF(ISNUMBER(((Datos!R19/Datos!Q19)*11)/factor_trimestre),((Datos!R19/Datos!Q19)*11)/factor_trimestre," - ")),(IF(ISNUMBER(((Datos!L19/Datos!K19)*11)/factor_trimestre),((Datos!L19/Datos!K19)*11)/factor_trimestre," - ")))</f>
        <v>5.8887616698960725</v>
      </c>
      <c r="AP19" s="834" t="str">
        <f>IF(ISNUMBER(Datos!CI19/Datos!CJ19),Datos!CI19/Datos!CJ19," - ")</f>
        <v xml:space="preserve"> - </v>
      </c>
      <c r="AQ19" s="834">
        <f>IF(OR(ISNUMBER(FIND("01",Criterios!A8,1)),ISNUMBER(FIND("02",Criterios!A8,1)),ISNUMBER(FIND("03",Criterios!A8,1)),ISNUMBER(FIND("04",Criterios!A8,1))),(J19-Y19+K19)/(F19-K19),(I19-Y19+K19)/(F19-K19))</f>
        <v>-1.3455298584742836</v>
      </c>
      <c r="AR19" s="834">
        <f>IF(ISNUMBER((Datos!P19-Datos!Q19+O19)/(Datos!R19-Datos!P19+Datos!Q19-O19)),(Datos!P19-Datos!Q19+O19)/(Datos!R19-Datos!P19+Datos!Q19-O19)," - ")</f>
        <v>1.8849331682542891E-2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3853.6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4697.8991403959844</v>
      </c>
      <c r="G21" s="552">
        <f>IF(ISNUMBER(STDEV(G8:G18)),STDEV(G8:G18),"-")</f>
        <v>4470.4453693116529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1246.8015078592102</v>
      </c>
      <c r="AK21" s="252"/>
      <c r="AL21" s="252">
        <f>IF(ISNUMBER(STDEV(AL8:AL18)),STDEV(AL8:AL18),"-")</f>
        <v>0</v>
      </c>
      <c r="AM21" s="254">
        <f>IF(ISNUMBER(STDEV(AM8:AM18)),STDEV(AM8:AM18),"-")</f>
        <v>0</v>
      </c>
      <c r="AN21" s="539">
        <f>IF(ISNUMBER(STDEV(AN8:AN18)),STDEV(AN8:AN18),"-")</f>
        <v>0</v>
      </c>
      <c r="AO21" s="540">
        <f>IF(ISNUMBER(STDEV(AO8:AO18)),STDEV(AO8:AO18),"-")</f>
        <v>3.4904637616264833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a2w1/CnES/XNpOZaq4ZTo/yjZ+D8FF40/4FZyRu41FLdI3JRTI3IpwiiaUbzgEEqZSx/6qMuoFRFDnXRo7/sg==" saltValue="/rUx1f1nJeiArtCf9kmGf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RkjuZk1MLmA8+PN64GqFU0QL45rpWPj6HYvshjSLolYTC0ou2qwU3PSTupWtlwt89cvi3ZTcqObMfLzYvUKHA==" saltValue="s2NCUu3A8d+4l6xs07OBv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t7EjupVApoclwKXoKCvDovuMSGW64j0I1kH0JBEXnAehRzn+c7yX4/o2vNjVBFZmCP6lopJcNRIVTo+OqnZ5A==" saltValue="6VXRdEUGtvgYC8O013Qql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PALMA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0.27698695136417556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0.19585935160979698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AXAM4fKQWdZIvIM74wWIerE/xdru5qiN9iWR6dTNKHgRtLmdnjc87QWh1MHRFsZxSsuH7KTrlG1ZGFRcGljZBQ==" saltValue="tI1pfBo+3RX4w8plkIIae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ODc4B+4uz7BNM9z9qVYEyNGhsVQgCByUgxainU5StgHt5qVngl2eRK3BuOKNJCWL7+EG2EIiCK/x5bAa/PCcw==" saltValue="uvPb5ucI1InUeYcJfOAVM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PALMA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20</v>
      </c>
      <c r="C9" s="403">
        <f>IF(ISNUMBER(IF(J_V="SI",Datos!I9,Datos!I9+Datos!Y9)),IF(J_V="SI",Datos!I9,Datos!I9+Datos!Y9)," - ")</f>
        <v>33282</v>
      </c>
      <c r="D9" s="404">
        <f>IF(ISNUMBER(C9/Datos!BH9),C9/Datos!BH9," - ")</f>
        <v>1664.1</v>
      </c>
      <c r="E9" s="403">
        <f>IF(ISNUMBER(IF(J_V="SI",Datos!J9,Datos!J9+Datos!Z9)),IF(J_V="SI",Datos!J9,Datos!J9+Datos!Z9)," - ")</f>
        <v>10464</v>
      </c>
      <c r="F9" s="404">
        <f>IF(ISNUMBER(E9/B9),E9/B9," - ")</f>
        <v>523.20000000000005</v>
      </c>
      <c r="G9" s="403">
        <f>IF(ISNUMBER(IF(J_V="SI",Datos!K9,Datos!K9+Datos!AA9)),IF(J_V="SI",Datos!K9,Datos!K9+Datos!AA9)," - ")</f>
        <v>9959</v>
      </c>
      <c r="H9" s="404">
        <f>IF(ISNUMBER(G9/B9),G9/B9," - ")</f>
        <v>497.95</v>
      </c>
      <c r="I9" s="403">
        <f>IF(ISNUMBER(IF(J_V="SI",Datos!L9,Datos!L9+Datos!AB9)),IF(J_V="SI",Datos!L9,Datos!L9+Datos!AB9)," - ")</f>
        <v>33789</v>
      </c>
      <c r="J9" s="404">
        <f>IF(ISNUMBER(I9/B9),I9/B9," - ")</f>
        <v>1689.45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3</v>
      </c>
      <c r="C10" s="403">
        <f>IF(ISNUMBER(Datos!I10),Datos!I10," - ")</f>
        <v>277</v>
      </c>
      <c r="D10" s="404">
        <f>IF(ISNUMBER(C10/Datos!BH10),C10/Datos!BH10," - ")</f>
        <v>138.5</v>
      </c>
      <c r="E10" s="403">
        <f>IF(ISNUMBER(Datos!J10),Datos!J10," - ")</f>
        <v>174</v>
      </c>
      <c r="F10" s="404">
        <f>IF(ISNUMBER(E10/B10),E10/B10," - ")</f>
        <v>58</v>
      </c>
      <c r="G10" s="403">
        <f>IF(ISNUMBER(Datos!K10),Datos!K10," - ")</f>
        <v>130</v>
      </c>
      <c r="H10" s="404">
        <f>IF(ISNUMBER(G10/B10),G10/B10," - ")</f>
        <v>43.333333333333336</v>
      </c>
      <c r="I10" s="403">
        <f>IF(ISNUMBER(Datos!L10),Datos!L10," - ")</f>
        <v>321</v>
      </c>
      <c r="J10" s="404">
        <f>IF(ISNUMBER(I10/B10),I10/B10," - ")</f>
        <v>107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1864</v>
      </c>
      <c r="D11" s="404">
        <f>IF(ISNUMBER(C11/Datos!BH11),C11/Datos!BH11," - ")</f>
        <v>466</v>
      </c>
      <c r="E11" s="403">
        <f>IF(ISNUMBER(IF(J_V="SI",Datos!J11,Datos!J11+Datos!Z11)),IF(J_V="SI",Datos!J11,Datos!J11+Datos!Z11)," - ")</f>
        <v>1658</v>
      </c>
      <c r="F11" s="404">
        <f>IF(ISNUMBER(E11/B11),E11/B11," - ")</f>
        <v>414.5</v>
      </c>
      <c r="G11" s="403">
        <f>IF(ISNUMBER(IF(J_V="SI",Datos!K11,Datos!K11+Datos!AA11)),IF(J_V="SI",Datos!K11,Datos!K11+Datos!AA11)," - ")</f>
        <v>1713</v>
      </c>
      <c r="H11" s="404">
        <f>IF(ISNUMBER(G11/B11),G11/B11," - ")</f>
        <v>428.25</v>
      </c>
      <c r="I11" s="403">
        <f>IF(ISNUMBER(IF(J_V="SI",Datos!L11,Datos!L11+Datos!AB11)),IF(J_V="SI",Datos!L11,Datos!L11+Datos!AB11)," - ")</f>
        <v>1823</v>
      </c>
      <c r="J11" s="404">
        <f>IF(ISNUMBER(I11/B11),I11/B11," - ")</f>
        <v>455.75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27</v>
      </c>
      <c r="C13" s="849">
        <f>SUBTOTAL(9,C8:C12)</f>
        <v>35423</v>
      </c>
      <c r="D13" s="850" t="str">
        <f>IF(ISNUMBER(C13/Datos!BI13),C13/Datos!BI13," - ")</f>
        <v xml:space="preserve"> - </v>
      </c>
      <c r="E13" s="849">
        <f>SUBTOTAL(9,E8:E12)</f>
        <v>12296</v>
      </c>
      <c r="F13" s="850">
        <f>IF(ISNUMBER(E13/B13),E13/B13," - ")</f>
        <v>455.40740740740739</v>
      </c>
      <c r="G13" s="849">
        <f>SUBTOTAL(9,G8:G12)</f>
        <v>11802</v>
      </c>
      <c r="H13" s="850">
        <f>IF(ISNUMBER(G13/B13),G13/B13," - ")</f>
        <v>437.11111111111109</v>
      </c>
      <c r="I13" s="849">
        <f>SUBTOTAL(9,I8:I12)</f>
        <v>35933</v>
      </c>
      <c r="J13" s="850">
        <f>IF(ISNUMBER(I13/B13),I13/B13," - ")</f>
        <v>1330.851851851852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12</v>
      </c>
      <c r="C15" s="403">
        <f>IF(ISNUMBER(IF(D_I="SI",Datos!I15,Datos!I15+Datos!AC15)),IF(D_I="SI",Datos!I15,Datos!I15+Datos!AC15)," - ")</f>
        <v>8048</v>
      </c>
      <c r="D15" s="404">
        <f>IF(ISNUMBER(C15/Datos!BH15),C15/Datos!BH15," - ")</f>
        <v>670.66666666666663</v>
      </c>
      <c r="E15" s="403">
        <f>IF(ISNUMBER(IF(D_I="SI",Datos!J15,Datos!J15+Datos!AD15)),IF(D_I="SI",Datos!J15,Datos!J15+Datos!AD15)," - ")</f>
        <v>9856</v>
      </c>
      <c r="F15" s="404">
        <f>IF(ISNUMBER(E15/B15),E15/B15," - ")</f>
        <v>821.33333333333337</v>
      </c>
      <c r="G15" s="403">
        <f>IF(ISNUMBER(IF(D_I="SI",Datos!K15,Datos!K15+Datos!AE15)),IF(D_I="SI",Datos!K15,Datos!K15+Datos!AE15)," - ")</f>
        <v>10068</v>
      </c>
      <c r="H15" s="404">
        <f>IF(ISNUMBER(G15/B15),G15/B15," - ")</f>
        <v>839</v>
      </c>
      <c r="I15" s="403">
        <f>IF(ISNUMBER(IF(D_I="SI",Datos!L15,Datos!L15+Datos!AF15)),IF(D_I="SI",Datos!L15,Datos!L15+Datos!AF15)," - ")</f>
        <v>8202</v>
      </c>
      <c r="J15" s="404">
        <f>IF(ISNUMBER(I15/B15),I15/B15," - ")</f>
        <v>683.5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3</v>
      </c>
      <c r="C17" s="403">
        <f>IF(ISNUMBER(IF(D_I="SI",Datos!I17,Datos!I17+Datos!AC17)),IF(D_I="SI",Datos!I17,Datos!I17+Datos!AC17)," - ")</f>
        <v>1309</v>
      </c>
      <c r="D17" s="404">
        <f>IF(ISNUMBER(C17/Datos!BH17),C17/Datos!BH17," - ")</f>
        <v>654.5</v>
      </c>
      <c r="E17" s="403">
        <f>IF(ISNUMBER(IF(D_I="SI",Datos!J17,Datos!J17+Datos!AD17)),IF(D_I="SI",Datos!J17,Datos!J17+Datos!AD17)," - ")</f>
        <v>1312</v>
      </c>
      <c r="F17" s="404">
        <f>IF(ISNUMBER(E17/B17),E17/B17," - ")</f>
        <v>437.33333333333331</v>
      </c>
      <c r="G17" s="403">
        <f>IF(ISNUMBER(IF(D_I="SI",Datos!K17,Datos!K17+Datos!AE17)),IF(D_I="SI",Datos!K17,Datos!K17+Datos!AE17)," - ")</f>
        <v>1496</v>
      </c>
      <c r="H17" s="404">
        <f>IF(ISNUMBER(G17/B17),G17/B17," - ")</f>
        <v>498.66666666666669</v>
      </c>
      <c r="I17" s="403">
        <f>IF(ISNUMBER(IF(D_I="SI",Datos!L17,Datos!L17+Datos!AF17)),IF(D_I="SI",Datos!L17,Datos!L17+Datos!AF17)," - ")</f>
        <v>1125</v>
      </c>
      <c r="J17" s="404">
        <f>IF(ISNUMBER(I17/B17),I17/B17," - ")</f>
        <v>375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15</v>
      </c>
      <c r="C18" s="849">
        <f>SUBTOTAL(9,C14:C17)</f>
        <v>9357</v>
      </c>
      <c r="D18" s="850" t="str">
        <f>IF(ISNUMBER(C18/Datos!BI18),C18/Datos!BI18," - ")</f>
        <v xml:space="preserve"> - </v>
      </c>
      <c r="E18" s="849">
        <f>SUBTOTAL(9,E14:E17)</f>
        <v>11168</v>
      </c>
      <c r="F18" s="850">
        <f>IF(ISNUMBER(E18/B18),E18/B18," - ")</f>
        <v>744.5333333333333</v>
      </c>
      <c r="G18" s="849">
        <f>SUBTOTAL(9,G14:G17)</f>
        <v>11564</v>
      </c>
      <c r="H18" s="850">
        <f>IF(ISNUMBER(G18/B18),G18/B18," - ")</f>
        <v>770.93333333333328</v>
      </c>
      <c r="I18" s="849">
        <f>SUBTOTAL(9,I14:I17)</f>
        <v>9327</v>
      </c>
      <c r="J18" s="850">
        <f>IF(ISNUMBER(I18/B18),I18/B18," - ")</f>
        <v>621.79999999999995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39</v>
      </c>
      <c r="C19" s="794">
        <f>SUBTOTAL(9,C9:C18)</f>
        <v>44780</v>
      </c>
      <c r="D19" s="795" t="str">
        <f>IF(ISNUMBER(C19/Datos!BI19),C19/Datos!BI19," - ")</f>
        <v xml:space="preserve"> - </v>
      </c>
      <c r="E19" s="794">
        <f>SUBTOTAL(9,E9:E18)</f>
        <v>23464</v>
      </c>
      <c r="F19" s="795">
        <f>IF(ISNUMBER(E19/B19),E19/B19," - ")</f>
        <v>601.64102564102564</v>
      </c>
      <c r="G19" s="794">
        <f>SUBTOTAL(9,G9:G18)</f>
        <v>23366</v>
      </c>
      <c r="H19" s="795">
        <f>IF(ISNUMBER(G19/B19),G19/B19," - ")</f>
        <v>599.12820512820508</v>
      </c>
      <c r="I19" s="794">
        <f>SUBTOTAL(9,I9:I18)</f>
        <v>45260</v>
      </c>
      <c r="J19" s="795">
        <f>IF(ISNUMBER(I19/B19),I19/B19," - ")</f>
        <v>1160.5128205128206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odiaCKHmcD/ttau0dgBIBvJqbQJa6Wlq75NKH4KfLzCeUVY9M4h2FBl64y49E/MHSjSi0BAyLD7nz1/c1xFd3A==" saltValue="6nZhghAEjB3gITqfw5zR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PALMA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20</v>
      </c>
      <c r="B9" s="501" t="s">
        <v>246</v>
      </c>
      <c r="C9" s="160" t="str">
        <f>Datos!A9</f>
        <v xml:space="preserve">Jdos. 1ª Instancia   </v>
      </c>
      <c r="D9" s="502"/>
      <c r="E9" s="682">
        <f>IF(ISNUMBER(Datos!AQ9),Datos!AQ9," - ")</f>
        <v>20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3</v>
      </c>
      <c r="B10" s="507" t="s">
        <v>246</v>
      </c>
      <c r="C10" s="7" t="str">
        <f>Datos!A10</f>
        <v>Jdos. Violencia contra la mujer</v>
      </c>
      <c r="D10" s="508"/>
      <c r="E10" s="682">
        <f>IF(ISNUMBER(Datos!AQ10),Datos!AQ10," - ")</f>
        <v>3</v>
      </c>
      <c r="F10" s="683">
        <f>IF(ISNUMBER(Datos!L10+Datos!K10-Datos!J10),Datos!L10+Datos!K10-Datos!J10," - ")</f>
        <v>277</v>
      </c>
      <c r="G10" s="684">
        <f>IF(ISNUMBER(Datos!I10),Datos!I10," - ")</f>
        <v>277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130</v>
      </c>
      <c r="AC10" s="683" t="str">
        <f>IF(ISNUMBER(IF(D_I="SI",DatosP!K17,DatosP!K17+DatosP!AE17)),IF(D_I="SI",DatosP!K17,DatosP!K17+DatosP!AE17)," - ")</f>
        <v xml:space="preserve"> - </v>
      </c>
      <c r="AD10" s="685"/>
      <c r="AE10" s="685"/>
      <c r="AF10" s="688">
        <f>IF(ISNUMBER(Datos!L10),Datos!L10,"-")</f>
        <v>321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71</v>
      </c>
      <c r="AM10" s="690">
        <f>IF(ISNUMBER(Datos!N10+DatosP!N17),Datos!N10+DatosP!N17," - ")</f>
        <v>70</v>
      </c>
      <c r="AN10" s="690">
        <f>IF(ISNUMBER(Datos!BW10+DatosP!BW17),Datos!BW10+DatosP!BW17," - ")</f>
        <v>0</v>
      </c>
      <c r="AO10" s="691">
        <f>IF(ISNUMBER(Datos!BX10+DatosP!BX17),Datos!BX10+DatosP!BX17," - ")</f>
        <v>0</v>
      </c>
      <c r="AP10" s="693">
        <f>IF(ISNUMBER(((Datos!L10/Datos!K10)*11)/factor_trimestre),((Datos!L10/Datos!K10)*11)/factor_trimestre," - ")</f>
        <v>7.407692307692308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27</v>
      </c>
      <c r="F13" s="938">
        <f t="shared" si="0"/>
        <v>277</v>
      </c>
      <c r="G13" s="938">
        <f t="shared" si="0"/>
        <v>277</v>
      </c>
      <c r="H13" s="938">
        <f t="shared" si="0"/>
        <v>0</v>
      </c>
      <c r="I13" s="940">
        <f t="shared" si="0"/>
        <v>0</v>
      </c>
      <c r="J13" s="939">
        <f t="shared" si="0"/>
        <v>0</v>
      </c>
      <c r="K13" s="939">
        <f t="shared" si="0"/>
        <v>0</v>
      </c>
      <c r="L13" s="941">
        <f t="shared" si="0"/>
        <v>0</v>
      </c>
      <c r="M13" s="941">
        <f t="shared" si="0"/>
        <v>0</v>
      </c>
      <c r="N13" s="939">
        <f t="shared" si="0"/>
        <v>64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130</v>
      </c>
      <c r="AC13" s="939">
        <f t="shared" si="1"/>
        <v>0</v>
      </c>
      <c r="AD13" s="939">
        <f t="shared" si="1"/>
        <v>0</v>
      </c>
      <c r="AE13" s="939">
        <f t="shared" si="1"/>
        <v>0</v>
      </c>
      <c r="AF13" s="939">
        <f t="shared" si="1"/>
        <v>321</v>
      </c>
      <c r="AG13" s="939">
        <f t="shared" si="1"/>
        <v>0</v>
      </c>
      <c r="AH13" s="939">
        <f t="shared" si="1"/>
        <v>0</v>
      </c>
      <c r="AI13" s="939">
        <f t="shared" si="1"/>
        <v>0</v>
      </c>
      <c r="AJ13" s="939">
        <f t="shared" si="1"/>
        <v>0</v>
      </c>
      <c r="AK13" s="939">
        <f t="shared" si="1"/>
        <v>0</v>
      </c>
      <c r="AL13" s="939">
        <f t="shared" si="1"/>
        <v>71</v>
      </c>
      <c r="AM13" s="939">
        <f t="shared" si="1"/>
        <v>70</v>
      </c>
      <c r="AN13" s="939">
        <f t="shared" si="1"/>
        <v>0</v>
      </c>
      <c r="AO13" s="939">
        <f t="shared" si="1"/>
        <v>0</v>
      </c>
      <c r="AP13" s="944">
        <f>IF(ISNUMBER(((Datos!L13/Datos!K13)*11)/factor_trimestre),((Datos!L13/Datos!K13)*11)/factor_trimestre," - ")</f>
        <v>9.4886037329504678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-0.46931407942238268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12</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2.4196644759598755</v>
      </c>
      <c r="AQ18" s="944">
        <f>IF(ISNUMBER(((Datos!M18/Datos!L18)*11)/factor_trimestre),((Datos!M18/Datos!L18)*11)/factor_trimestre," - ")</f>
        <v>0.49533612093920881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4.5941807044410414E-2</v>
      </c>
      <c r="AW18" s="946">
        <f>IF(ISNUMBER((Datos!Q18-Datos!R18)/(Datos!S18-Datos!Q18+Datos!R18)),(Datos!Q18-Datos!R18)/(Datos!S18-Datos!Q18+Datos!R18)," - ")</f>
        <v>-8.9669933536104543E-2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27</v>
      </c>
      <c r="F19" s="951">
        <f t="shared" si="4"/>
        <v>277</v>
      </c>
      <c r="G19" s="951">
        <f t="shared" si="4"/>
        <v>277</v>
      </c>
      <c r="H19" s="951">
        <f t="shared" si="4"/>
        <v>0</v>
      </c>
      <c r="I19" s="952">
        <f t="shared" si="4"/>
        <v>0</v>
      </c>
      <c r="J19" s="953">
        <f t="shared" si="4"/>
        <v>0</v>
      </c>
      <c r="K19" s="953">
        <f t="shared" si="4"/>
        <v>0</v>
      </c>
      <c r="L19" s="953">
        <f t="shared" si="4"/>
        <v>0</v>
      </c>
      <c r="M19" s="953">
        <f t="shared" si="4"/>
        <v>0</v>
      </c>
      <c r="N19" s="952">
        <f t="shared" si="4"/>
        <v>64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130</v>
      </c>
      <c r="AC19" s="957">
        <f t="shared" si="5"/>
        <v>0</v>
      </c>
      <c r="AD19" s="957">
        <f t="shared" si="5"/>
        <v>0</v>
      </c>
      <c r="AE19" s="957">
        <f t="shared" si="5"/>
        <v>0</v>
      </c>
      <c r="AF19" s="958">
        <f t="shared" si="5"/>
        <v>321</v>
      </c>
      <c r="AG19" s="958">
        <f t="shared" si="5"/>
        <v>0</v>
      </c>
      <c r="AH19" s="958">
        <f t="shared" si="5"/>
        <v>0</v>
      </c>
      <c r="AI19" s="958">
        <f t="shared" si="5"/>
        <v>0</v>
      </c>
      <c r="AJ19" s="959">
        <f t="shared" si="5"/>
        <v>0</v>
      </c>
      <c r="AK19" s="959">
        <f t="shared" si="5"/>
        <v>0</v>
      </c>
      <c r="AL19" s="951">
        <f t="shared" si="5"/>
        <v>71</v>
      </c>
      <c r="AM19" s="951">
        <f t="shared" si="5"/>
        <v>70</v>
      </c>
      <c r="AN19" s="951">
        <f t="shared" si="5"/>
        <v>0</v>
      </c>
      <c r="AO19" s="951">
        <f t="shared" si="5"/>
        <v>0</v>
      </c>
      <c r="AP19" s="951">
        <f>IF(ISNUMBER(((Datos!L19/Datos!K19)*11)/factor_trimestre),((Datos!L19/Datos!K19)*11)/factor_trimestre," - ")</f>
        <v>5.8887616698960725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-0.46931407942238268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1.8849331682542891E-2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184.66666666666666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11.558546621439911</v>
      </c>
      <c r="F21" s="736">
        <f>IF(ISNUMBER(STDEV(F8:F18)),STDEV(F8:F18),"-")</f>
        <v>159.92602456552635</v>
      </c>
      <c r="G21" s="737">
        <f>IF(ISNUMBER(STDEV(G8:G18)),STDEV(G8:G18),"-")</f>
        <v>159.92602456552635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75.055534994651353</v>
      </c>
      <c r="AC21" s="738">
        <f>IF(ISNUMBER(STDEV(AC8:AC18)),STDEV(AC8:AC18),"-")</f>
        <v>0</v>
      </c>
      <c r="AD21" s="741"/>
      <c r="AE21" s="741"/>
      <c r="AF21" s="741"/>
      <c r="AG21" s="741"/>
      <c r="AH21" s="741"/>
      <c r="AI21" s="741"/>
      <c r="AJ21" s="742">
        <f>IF(ISNUMBER(STDEV(AJ8:AJ18)),STDEV(AJ8:AJ18),"-")</f>
        <v>0</v>
      </c>
      <c r="AK21" s="744"/>
      <c r="AL21" s="736">
        <f>IF(ISNUMBER(STDEV(AL8:AL18)),STDEV(AL8:AL18),"-")</f>
        <v>40.991869112463434</v>
      </c>
      <c r="AM21" s="736"/>
      <c r="AN21" s="736">
        <f>IF(ISNUMBER(STDEV(AN8:AN18)),STDEV(AN8:AN18),"-")</f>
        <v>0</v>
      </c>
      <c r="AO21" s="742">
        <f>IF(ISNUMBER(STDEV(AO8:AO18)),STDEV(AO8:AO18),"-")</f>
        <v>0</v>
      </c>
      <c r="AP21" s="779">
        <f>IF(ISNUMBER(STDEV(AP8:AP18)),STDEV(AP8:AP18),"-")</f>
        <v>3.632733503138053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meK4171RYCSKNwgZlihrG6xn9F2dQUEB0Pt5+KvMb6M/B50mTUL/py32vgNHGUg20uaVSRba8Y7ZHmj5EOCqJA==" saltValue="vO4csidH6DAAa7G3Gqltt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PALMA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20</v>
      </c>
      <c r="D9" s="403">
        <f>Datos!BK9</f>
        <v>0</v>
      </c>
      <c r="E9" s="403">
        <f>Datos!AQ9</f>
        <v>20</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12</v>
      </c>
      <c r="D15" s="403">
        <f>Datos!BK15</f>
        <v>0</v>
      </c>
      <c r="E15" s="403">
        <f>Datos!AQ15</f>
        <v>12</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d3K6HOi5t8Z19at6ZEOGjxWeGjth0j0ig15NWwpqTaD3jR6+xoRarxosHgDelMHHMyKyh9i9xHeM4CX0z/TU4A==" saltValue="GjywamW02+jlbAmtWR14W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PALMA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20</v>
      </c>
      <c r="C9" s="410">
        <f>Datos!AQ9</f>
        <v>20</v>
      </c>
      <c r="D9" s="403">
        <f>IF(ISNUMBER(Datos!M9),Datos!M9," - ")</f>
        <v>2674</v>
      </c>
      <c r="E9" s="404">
        <f t="shared" ref="E9:E13" si="0">IF(ISNUMBER(D9/B9),D9/B9," - ")</f>
        <v>133.69999999999999</v>
      </c>
      <c r="F9" s="403">
        <f>IF(ISNUMBER(Datos!N9),Datos!N9," - ")</f>
        <v>3506</v>
      </c>
      <c r="G9" s="404">
        <f t="shared" ref="G9:G13" si="1">IF(ISNUMBER(F9/B9),F9/B9," - ")</f>
        <v>175.3</v>
      </c>
      <c r="H9" s="403">
        <f>IF(ISNUMBER(Datos!O9),Datos!O9," - ")</f>
        <v>4374</v>
      </c>
      <c r="I9" s="404">
        <f>IF(ISNUMBER(H9/B9),H9/B9," - ")</f>
        <v>218.7</v>
      </c>
      <c r="BZ9" s="1186">
        <f>Datos!EZ9</f>
        <v>0</v>
      </c>
    </row>
    <row r="10" spans="1:78">
      <c r="A10" s="402" t="str">
        <f>Datos!A10</f>
        <v>Jdos. Violencia contra la mujer</v>
      </c>
      <c r="B10" s="427">
        <f>Datos!AO10</f>
        <v>3</v>
      </c>
      <c r="C10" s="410">
        <f>Datos!AQ10</f>
        <v>3</v>
      </c>
      <c r="D10" s="403">
        <f>IF(ISNUMBER(Datos!M10),Datos!M10," - ")</f>
        <v>71</v>
      </c>
      <c r="E10" s="404">
        <f>IF(ISNUMBER(D10/B10),D10/B10," - ")</f>
        <v>23.666666666666668</v>
      </c>
      <c r="F10" s="403">
        <f>IF(ISNUMBER(Datos!N10),Datos!N10," - ")</f>
        <v>70</v>
      </c>
      <c r="G10" s="404">
        <f>IF(ISNUMBER(F10/B10),F10/B10," - ")</f>
        <v>23.333333333333332</v>
      </c>
      <c r="H10" s="403">
        <f>IF(ISNUMBER(Datos!O10),Datos!O10," - ")</f>
        <v>17</v>
      </c>
      <c r="I10" s="404">
        <f t="shared" ref="I10:I12" si="2">IF(ISNUMBER(H10/B10),H10/B10," - ")</f>
        <v>5.666666666666667</v>
      </c>
      <c r="BZ10" s="1186">
        <f>Datos!EZ10</f>
        <v>0</v>
      </c>
    </row>
    <row r="11" spans="1:78">
      <c r="A11" s="402" t="str">
        <f>Datos!A11</f>
        <v xml:space="preserve">Jdos. Familia                                   </v>
      </c>
      <c r="B11" s="427">
        <f>Datos!AO11</f>
        <v>4</v>
      </c>
      <c r="C11" s="410">
        <f>Datos!AQ11</f>
        <v>4</v>
      </c>
      <c r="D11" s="403">
        <f>IF(ISNUMBER(Datos!M11),Datos!M11," - ")</f>
        <v>524</v>
      </c>
      <c r="E11" s="404">
        <f t="shared" si="0"/>
        <v>131</v>
      </c>
      <c r="F11" s="403">
        <f>IF(ISNUMBER(Datos!N11),Datos!N11," - ")</f>
        <v>928</v>
      </c>
      <c r="G11" s="404">
        <f t="shared" si="1"/>
        <v>232</v>
      </c>
      <c r="H11" s="403">
        <f>IF(ISNUMBER(Datos!O11),Datos!O11," - ")</f>
        <v>469</v>
      </c>
      <c r="I11" s="404">
        <f t="shared" si="2"/>
        <v>117.25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27</v>
      </c>
      <c r="C13" s="851">
        <f>Datos!AR13</f>
        <v>27</v>
      </c>
      <c r="D13" s="849">
        <f>SUBTOTAL(9,D9:D12)</f>
        <v>3269</v>
      </c>
      <c r="E13" s="850">
        <f t="shared" si="0"/>
        <v>121.07407407407408</v>
      </c>
      <c r="F13" s="849">
        <f>SUBTOTAL(9,F9:F12)</f>
        <v>4504</v>
      </c>
      <c r="G13" s="850">
        <f t="shared" si="1"/>
        <v>166.81481481481481</v>
      </c>
      <c r="H13" s="849">
        <f>SUBTOTAL(9,H9:H12)</f>
        <v>4860</v>
      </c>
      <c r="I13" s="850">
        <f>IF(ISNUMBER(H13/B13),H13/B13," - ")</f>
        <v>180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12</v>
      </c>
      <c r="C15" s="428">
        <f>Datos!AQ15</f>
        <v>12</v>
      </c>
      <c r="D15" s="403">
        <f>IF(ISNUMBER(Datos!M15),Datos!M15," - ")</f>
        <v>1429</v>
      </c>
      <c r="E15" s="404">
        <f t="shared" ref="E15:E18" si="3">IF(ISNUMBER(D15/B15),D15/B15," - ")</f>
        <v>119.08333333333333</v>
      </c>
      <c r="F15" s="403">
        <f>IF(ISNUMBER(Datos!N15),Datos!N15," - ")</f>
        <v>5566</v>
      </c>
      <c r="G15" s="404">
        <f t="shared" ref="G15:G18" si="4">IF(ISNUMBER(F15/B15),F15/B15," - ")</f>
        <v>463.83333333333331</v>
      </c>
      <c r="H15" s="403">
        <f>IF(ISNUMBER(Datos!O15),Datos!O15," - ")</f>
        <v>395</v>
      </c>
      <c r="I15" s="404">
        <f t="shared" ref="I15:I17" si="5">IF(ISNUMBER(H15/B15),H15/B15," - ")</f>
        <v>32.916666666666664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3</v>
      </c>
      <c r="C17" s="428">
        <f>Datos!AQ17</f>
        <v>3</v>
      </c>
      <c r="D17" s="403">
        <f>IF(ISNUMBER(Datos!M17),Datos!M17," - ")</f>
        <v>111</v>
      </c>
      <c r="E17" s="404">
        <f>IF(ISNUMBER(D17/B17),D17/B17," - ")</f>
        <v>37</v>
      </c>
      <c r="F17" s="403">
        <f>IF(ISNUMBER(Datos!N17),Datos!N17," - ")</f>
        <v>993</v>
      </c>
      <c r="G17" s="404">
        <f>IF(ISNUMBER(F17/B17),F17/B17," - ")</f>
        <v>331</v>
      </c>
      <c r="H17" s="403">
        <f>IF(ISNUMBER(Datos!O17),Datos!O17," - ")</f>
        <v>10</v>
      </c>
      <c r="I17" s="404">
        <f t="shared" si="5"/>
        <v>3.3333333333333335</v>
      </c>
      <c r="BZ17" s="1186">
        <f>Datos!EZ17</f>
        <v>0</v>
      </c>
    </row>
    <row r="18" spans="1:78" ht="14.25" thickTop="1" thickBot="1">
      <c r="A18" s="848" t="str">
        <f>Datos!A18</f>
        <v>TOTAL</v>
      </c>
      <c r="B18" s="849">
        <f>Datos!AP18</f>
        <v>15</v>
      </c>
      <c r="C18" s="851">
        <f>Datos!AR18</f>
        <v>15</v>
      </c>
      <c r="D18" s="849">
        <f>SUBTOTAL(9,D15:D17)</f>
        <v>1540</v>
      </c>
      <c r="E18" s="850">
        <f t="shared" si="3"/>
        <v>102.66666666666667</v>
      </c>
      <c r="F18" s="849">
        <f>SUBTOTAL(9,F15:F17)</f>
        <v>6559</v>
      </c>
      <c r="G18" s="850">
        <f t="shared" si="4"/>
        <v>437.26666666666665</v>
      </c>
      <c r="H18" s="849">
        <f>SUBTOTAL(9,H15:H17)</f>
        <v>405</v>
      </c>
      <c r="I18" s="850">
        <f>IF(ISNUMBER(H18/B18),H18/B18," - ")</f>
        <v>27</v>
      </c>
      <c r="BZ18" s="1186"/>
    </row>
    <row r="19" spans="1:78" ht="14.25" thickTop="1" thickBot="1">
      <c r="A19" s="793" t="str">
        <f>Datos!A19</f>
        <v>TOTAL JURISDICCIONES</v>
      </c>
      <c r="B19" s="794">
        <f>Datos!AP19</f>
        <v>39</v>
      </c>
      <c r="C19" s="794">
        <f>Datos!AR19</f>
        <v>39</v>
      </c>
      <c r="D19" s="794">
        <f>SUBTOTAL(9,D8:D18)</f>
        <v>4809</v>
      </c>
      <c r="E19" s="795">
        <f>IF(ISNUMBER(D19/B19),D19/B19," - ")</f>
        <v>123.30769230769231</v>
      </c>
      <c r="F19" s="794">
        <f>SUBTOTAL(9,F8:F18)</f>
        <v>11063</v>
      </c>
      <c r="G19" s="795">
        <f>IF(ISNUMBER(F19/B19),F19/B19," - ")</f>
        <v>283.66666666666669</v>
      </c>
      <c r="H19" s="794">
        <f>SUBTOTAL(9,H8:H18)</f>
        <v>5265</v>
      </c>
      <c r="I19" s="795">
        <f>IF(ISNUMBER(H19/B19),H19/B19," - ")</f>
        <v>135</v>
      </c>
    </row>
    <row r="22" spans="1:78">
      <c r="A22" s="391" t="str">
        <f>Criterios!A4</f>
        <v>Fecha Informe: 24 sep. 2024</v>
      </c>
    </row>
    <row r="27" spans="1:78">
      <c r="A27" s="414"/>
    </row>
  </sheetData>
  <sheetProtection algorithmName="SHA-512" hashValue="2qYDPbSLZ3fxY4fh443MPKNMnkjFiYPUl6UCm0upqY8cOA5Qo/NE2AmFa7nEaHloQWNJwhYziXvn+4Mkq2wAdg==" saltValue="KG/XouQA2f50qWJ+xGof6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PALMA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2508</v>
      </c>
      <c r="C9" s="434">
        <f>IF(ISNUMBER(Datos!Q9),Datos!Q9," - ")</f>
        <v>1839</v>
      </c>
      <c r="D9" s="408">
        <f>IF(ISNUMBER(Datos!R9),Datos!R9," - ")</f>
        <v>37234</v>
      </c>
    </row>
    <row r="10" spans="1:4">
      <c r="A10" s="402" t="str">
        <f>Datos!A10</f>
        <v>Jdos. Violencia contra la mujer</v>
      </c>
      <c r="B10" s="433">
        <f>IF(ISNUMBER(Datos!P10),Datos!P10," - ")</f>
        <v>64</v>
      </c>
      <c r="C10" s="434">
        <f>IF(ISNUMBER(Datos!Q10),Datos!Q10," - ")</f>
        <v>31</v>
      </c>
      <c r="D10" s="408">
        <f>IF(ISNUMBER(Datos!R10),Datos!R10," - ")</f>
        <v>365</v>
      </c>
    </row>
    <row r="11" spans="1:4">
      <c r="A11" s="402" t="str">
        <f>Datos!A11</f>
        <v xml:space="preserve">Jdos. Familia                                   </v>
      </c>
      <c r="B11" s="433">
        <f>IF(ISNUMBER(Datos!P11),Datos!P11," - ")</f>
        <v>172</v>
      </c>
      <c r="C11" s="434">
        <f>IF(ISNUMBER(Datos!Q11),Datos!Q11," - ")</f>
        <v>188</v>
      </c>
      <c r="D11" s="408">
        <f>IF(ISNUMBER(Datos!R11),Datos!R11," - ")</f>
        <v>1358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2744</v>
      </c>
      <c r="C13" s="853">
        <f>SUBTOTAL(9,C9:C12)</f>
        <v>2058</v>
      </c>
      <c r="D13" s="851">
        <f>SUBTOTAL(9,D9:D12)</f>
        <v>38957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592</v>
      </c>
      <c r="C15" s="434">
        <f>IF(ISNUMBER(Datos!Q15),Datos!Q15," - ")</f>
        <v>555</v>
      </c>
      <c r="D15" s="408">
        <f>IF(ISNUMBER(Datos!R15),Datos!R15," - ")</f>
        <v>1314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38</v>
      </c>
      <c r="C17" s="434">
        <f>IF(ISNUMBER(Datos!Q17),Datos!Q17," - ")</f>
        <v>15</v>
      </c>
      <c r="D17" s="408">
        <f>IF(ISNUMBER(Datos!R17),Datos!R17," - ")</f>
        <v>52</v>
      </c>
    </row>
    <row r="18" spans="1:4" ht="14.25" thickTop="1" thickBot="1">
      <c r="A18" s="848" t="str">
        <f>Datos!A18</f>
        <v>TOTAL</v>
      </c>
      <c r="B18" s="849">
        <f>SUBTOTAL(9,B15:B17)</f>
        <v>630</v>
      </c>
      <c r="C18" s="853">
        <f>SUBTOTAL(9,C15:C17)</f>
        <v>570</v>
      </c>
      <c r="D18" s="851">
        <f>SUBTOTAL(9,D15:D17)</f>
        <v>1366</v>
      </c>
    </row>
    <row r="19" spans="1:4" ht="16.5" customHeight="1" thickTop="1" thickBot="1">
      <c r="A19" s="793" t="str">
        <f>Datos!A19</f>
        <v>TOTAL JURISDICCIONES</v>
      </c>
      <c r="B19" s="798">
        <f>SUBTOTAL(9,B8:B18)</f>
        <v>3374</v>
      </c>
      <c r="C19" s="799">
        <f>SUBTOTAL(9,C8:C18)</f>
        <v>2628</v>
      </c>
      <c r="D19" s="800">
        <f>SUBTOTAL(9,D8:D18)</f>
        <v>40323</v>
      </c>
    </row>
    <row r="20" spans="1:4" ht="7.5" customHeight="1"/>
    <row r="21" spans="1:4" ht="6" customHeight="1"/>
    <row r="22" spans="1:4">
      <c r="A22" s="391" t="str">
        <f>Criterios!A4</f>
        <v>Fecha Informe: 24 sep. 2024</v>
      </c>
    </row>
    <row r="27" spans="1:4">
      <c r="A27" s="414"/>
    </row>
  </sheetData>
  <sheetProtection algorithmName="SHA-512" hashValue="LNJ351iz99mBUJa+v6IlBuCYDdYG42WG42WOqS2I61jxLCdZPF+rjDn+gkrpG7LU7HdyACZ0shxBL+0ymYskxA==" saltValue="VwgtOqwfekiU2tY4QoMWV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PALMA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0.28155564112437426</v>
      </c>
      <c r="C9" s="456">
        <f>IF(ISNUMBER(
   IF(J_V="SI",(Datos!J9-Datos!T9)/Datos!T9,(Datos!J9+Datos!Z9-(Datos!T9+Datos!AH9))/(Datos!T9+Datos!AH9))
     ),IF(J_V="SI",(Datos!J9-Datos!T9)/Datos!T9,(Datos!J9+Datos!Z9-(Datos!T9+Datos!AH9))/(Datos!T9+Datos!AH9))," - ")</f>
        <v>-6.8790602473969925E-2</v>
      </c>
      <c r="D9" s="456">
        <f>IF(ISNUMBER(
   IF(J_V="SI",(Datos!K9-Datos!U9)/Datos!U9,(Datos!K9+Datos!AA9-(Datos!U9+Datos!AI9))/(Datos!U9+Datos!AI9))
     ),IF(J_V="SI",(Datos!K9-Datos!U9)/Datos!U9,(Datos!K9+Datos!AA9-(Datos!U9+Datos!AI9))/(Datos!U9+Datos!AI9))," - ")</f>
        <v>0.21822629969418961</v>
      </c>
      <c r="E9" s="456">
        <f>IF(ISNUMBER(
   IF(J_V="SI",(Datos!L9-Datos!V9)/Datos!V9,(Datos!L9+Datos!AB9-(Datos!V9+Datos!AJ9))/(Datos!V9+Datos!AJ9))
     ),IF(J_V="SI",(Datos!L9-Datos!V9)/Datos!V9,(Datos!L9+Datos!AB9-(Datos!V9+Datos!AJ9))/(Datos!V9+Datos!AJ9))," - ")</f>
        <v>0.17961876832844575</v>
      </c>
      <c r="F9" s="456">
        <f>IF(ISNUMBER((Datos!M9-Datos!W9)/Datos!W9),(Datos!M9-Datos!W9)/Datos!W9," - ")</f>
        <v>0.3088595203132648</v>
      </c>
      <c r="G9" s="457">
        <f>IF(ISNUMBER((Datos!N9-Datos!X9)/Datos!X9),(Datos!N9-Datos!X9)/Datos!X9," - ")</f>
        <v>0.18847457627118644</v>
      </c>
      <c r="H9" s="455">
        <f>IF(ISNUMBER(((NºAsuntos!G9/NºAsuntos!E9)-Datos!BD9)/Datos!BD9),((NºAsuntos!G9/NºAsuntos!E9)-Datos!BD9)/Datos!BD9," - ")</f>
        <v>0.3082195078042439</v>
      </c>
      <c r="I9" s="456">
        <f>IF(ISNUMBER(((NºAsuntos!I9/NºAsuntos!G9)-Datos!BE9)/Datos!BE9),((NºAsuntos!I9/NºAsuntos!G9)-Datos!BE9)/Datos!BE9," - ")</f>
        <v>-3.1691592420419391E-2</v>
      </c>
      <c r="J9" s="461">
        <f>IF(ISNUMBER((('Resol  Asuntos'!D9/NºAsuntos!G9)-Datos!BF9)/Datos!BF9),(('Resol  Asuntos'!D9/NºAsuntos!G9)-Datos!BF9)/Datos!BF9," - ")</f>
        <v>-0.25593407547214764</v>
      </c>
      <c r="K9" s="462">
        <f>IF(ISNUMBER((((NºAsuntos!C9+NºAsuntos!E9)/NºAsuntos!G9)-Datos!BG9)/Datos!BG9),(((NºAsuntos!C9+NºAsuntos!E9)/NºAsuntos!G9)-Datos!BG9)/Datos!BG9," - ")</f>
        <v>-3.4870204649339959E-2</v>
      </c>
    </row>
    <row r="10" spans="1:11">
      <c r="A10" s="402" t="str">
        <f>Datos!A10</f>
        <v>Jdos. Violencia contra la mujer</v>
      </c>
      <c r="B10" s="455">
        <f>IF(ISNUMBER((Datos!I10-Datos!S10)/Datos!S10),(Datos!I10-Datos!S10)/Datos!S10," - ")</f>
        <v>0.28240740740740738</v>
      </c>
      <c r="C10" s="456">
        <f>IF(ISNUMBER((Datos!J10-Datos!T10)/Datos!T10),(Datos!J10-Datos!T10)/Datos!T10," - ")</f>
        <v>0.5535714285714286</v>
      </c>
      <c r="D10" s="456">
        <f>IF(ISNUMBER((Datos!K10-Datos!U10)/Datos!U10),(Datos!K10-Datos!U10)/Datos!U10," - ")</f>
        <v>7.43801652892562E-2</v>
      </c>
      <c r="E10" s="456">
        <f>IF(ISNUMBER((Datos!L10-Datos!V10)/Datos!V10),(Datos!L10-Datos!V10)/Datos!V10," - ")</f>
        <v>0.55072463768115942</v>
      </c>
      <c r="F10" s="456">
        <f>IF(ISNUMBER((Datos!M10-Datos!W10)/Datos!W10),(Datos!M10-Datos!W10)/Datos!W10," - ")</f>
        <v>9.2307692307692313E-2</v>
      </c>
      <c r="G10" s="457">
        <f>IF(ISNUMBER((Datos!N10-Datos!X10)/Datos!X10),(Datos!N10-Datos!X10)/Datos!X10," - ")</f>
        <v>0.55555555555555558</v>
      </c>
      <c r="H10" s="455">
        <f>IF(ISNUMBER(((NºAsuntos!G10/NºAsuntos!E10)-Datos!BD10)/Datos!BD10),((NºAsuntos!G10/NºAsuntos!E10)-Datos!BD10)/Datos!BD10," - ")</f>
        <v>-0.30844495107817987</v>
      </c>
      <c r="I10" s="456">
        <f>IF(ISNUMBER(((NºAsuntos!I10/NºAsuntos!G10)-Datos!BE10)/Datos!BE10),((NºAsuntos!I10/NºAsuntos!G10)-Datos!BE10)/Datos!BE10," - ")</f>
        <v>0.44336677814938685</v>
      </c>
      <c r="J10" s="461">
        <f>IF(ISNUMBER((('Resol  Asuntos'!D10/NºAsuntos!G10)-Datos!BF10)/Datos!BF10),(('Resol  Asuntos'!D10/NºAsuntos!G10)-Datos!BF10)/Datos!BF10," - ")</f>
        <v>1.6686390532544306E-2</v>
      </c>
      <c r="K10" s="462">
        <f>IF(ISNUMBER((((NºAsuntos!C10+NºAsuntos!E10)/NºAsuntos!G10)-Datos!BG10)/Datos!BG10),(((NºAsuntos!C10+NºAsuntos!E10)/NºAsuntos!G10)-Datos!BG10)/Datos!BG10," - ")</f>
        <v>0.27980769230769242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2.8130170987313845E-2</v>
      </c>
      <c r="C11" s="456">
        <f>IF(ISNUMBER(
   IF(J_V="SI",(Datos!J11-Datos!T11)/Datos!T11,(Datos!J11+Datos!Z11-(Datos!T11+Datos!AH11))/(Datos!T11+Datos!AH11))
     ),IF(J_V="SI",(Datos!J11-Datos!T11)/Datos!T11,(Datos!J11+Datos!Z11-(Datos!T11+Datos!AH11))/(Datos!T11+Datos!AH11))," - ")</f>
        <v>-0.12367864693446089</v>
      </c>
      <c r="D11" s="456">
        <f>IF(ISNUMBER(
   IF(J_V="SI",(Datos!K11-Datos!U11)/Datos!U11,(Datos!K11+Datos!AA11-(Datos!U11+Datos!AI11))/(Datos!U11+Datos!AI11))
     ),IF(J_V="SI",(Datos!K11-Datos!U11)/Datos!U11,(Datos!K11+Datos!AA11-(Datos!U11+Datos!AI11))/(Datos!U11+Datos!AI11))," - ")</f>
        <v>2.20763723150358E-2</v>
      </c>
      <c r="E11" s="456">
        <f>IF(ISNUMBER(
   IF(J_V="SI",(Datos!L11-Datos!V11)/Datos!V11,(Datos!L11+Datos!AB11-(Datos!V11+Datos!AJ11))/(Datos!V11+Datos!AJ11))
     ),IF(J_V="SI",(Datos!L11-Datos!V11)/Datos!V11,(Datos!L11+Datos!AB11-(Datos!V11+Datos!AJ11))/(Datos!V11+Datos!AJ11))," - ")</f>
        <v>-1.1924119241192412E-2</v>
      </c>
      <c r="F11" s="456">
        <f>IF(ISNUMBER((Datos!M11-Datos!W11)/Datos!W11),(Datos!M11-Datos!W11)/Datos!W11," - ")</f>
        <v>0.13174946004319654</v>
      </c>
      <c r="G11" s="457">
        <f>IF(ISNUMBER((Datos!N11-Datos!X11)/Datos!X11),(Datos!N11-Datos!X11)/Datos!X11," - ")</f>
        <v>-0.29590288315629742</v>
      </c>
      <c r="H11" s="455">
        <f>IF(ISNUMBER(((NºAsuntos!G11/NºAsuntos!E11)-Datos!BD11)/Datos!BD11),((NºAsuntos!G11/NºAsuntos!E11)-Datos!BD11)/Datos!BD11," - ")</f>
        <v>0.16632599301571041</v>
      </c>
      <c r="I11" s="456">
        <f>IF(ISNUMBER(((NºAsuntos!I11/NºAsuntos!G11)-Datos!BE11)/Datos!BE11),((NºAsuntos!I11/NºAsuntos!G11)-Datos!BE11)/Datos!BE11," - ")</f>
        <v>-3.3266096817418996E-2</v>
      </c>
      <c r="J11" s="461">
        <f>IF(ISNUMBER((('Resol  Asuntos'!D11/NºAsuntos!G11)-Datos!BF11)/Datos!BF11),(('Resol  Asuntos'!D11/NºAsuntos!G11)-Datos!BF11)/Datos!BF11," - ")</f>
        <v>-0.61101529232407359</v>
      </c>
      <c r="K11" s="462">
        <f>IF(ISNUMBER((((NºAsuntos!C11+NºAsuntos!E11)/NºAsuntos!G11)-Datos!BG11)/Datos!BG11),(((NºAsuntos!C11+NºAsuntos!E11)/NºAsuntos!G11)-Datos!BG11)/Datos!BG11," - ")</f>
        <v>-6.9925386009817903E-2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0.26515232686881673</v>
      </c>
      <c r="C13" s="855">
        <f>IF(ISNUMBER(
   IF(J_V="SI",(Datos!J13-Datos!T13)/Datos!T13,(Datos!J13+Datos!Z13-(Datos!T13+Datos!AH13))/(Datos!T13+Datos!AH13))
     ),IF(J_V="SI",(Datos!J13-Datos!T13)/Datos!T13,(Datos!J13+Datos!Z13-(Datos!T13+Datos!AH13))/(Datos!T13+Datos!AH13))," - ")</f>
        <v>-7.1369231931123031E-2</v>
      </c>
      <c r="D13" s="855">
        <f>IF(ISNUMBER(
   IF(J_V="SI",(Datos!K13-Datos!U13)/Datos!U13,(Datos!K13+Datos!AA13-(Datos!U13+Datos!AI13))/(Datos!U13+Datos!AI13))
     ),IF(J_V="SI",(Datos!K13-Datos!U13)/Datos!U13,(Datos!K13+Datos!AA13-(Datos!U13+Datos!AI13))/(Datos!U13+Datos!AI13))," - ")</f>
        <v>0.18351383874849578</v>
      </c>
      <c r="E13" s="855">
        <f>IF(ISNUMBER(
   IF(J_V="SI",(Datos!L13-Datos!V13)/Datos!V13,(Datos!L13+Datos!AB13-(Datos!V13+Datos!AJ13))/(Datos!V13+Datos!AJ13))
     ),IF(J_V="SI",(Datos!L13-Datos!V13)/Datos!V13,(Datos!L13+Datos!AB13-(Datos!V13+Datos!AJ13))/(Datos!V13+Datos!AJ13))," - ")</f>
        <v>0.17060854834506126</v>
      </c>
      <c r="F13" s="856">
        <f>IF(ISNUMBER((Datos!M13-Datos!W13)/Datos!W13),(Datos!M13-Datos!W13)/Datos!W13," - ")</f>
        <v>0.27148969272656553</v>
      </c>
      <c r="G13" s="857">
        <f>IF(ISNUMBER((Datos!N13-Datos!X13)/Datos!X13),(Datos!N13-Datos!X13)/Datos!X13," - ")</f>
        <v>4.4284720612102944E-2</v>
      </c>
      <c r="H13" s="857">
        <f>IF(ISNUMBER(((NºAsuntos!G13/NºAsuntos!E13)-Datos!BD13)/Datos!BD13),((NºAsuntos!G13/NºAsuntos!E13)-Datos!BD13)/Datos!BD13," - ")</f>
        <v>0.27447192085790773</v>
      </c>
      <c r="I13" s="857">
        <f>IF(ISNUMBER(((NºAsuntos!I13/NºAsuntos!G13)-Datos!BE13)/Datos!BE13),((NºAsuntos!I13/NºAsuntos!G13)-Datos!BE13)/Datos!BE13," - ")</f>
        <v>-1.0904215887396079E-2</v>
      </c>
      <c r="J13" s="857">
        <f>IF(ISNUMBER((('Resol  Asuntos'!D13/NºAsuntos!G13)-Datos!BF13)/Datos!BF13),(('Resol  Asuntos'!D13/NºAsuntos!G13)-Datos!BF13)/Datos!BF13," - ")</f>
        <v>-0.36254006946606077</v>
      </c>
      <c r="K13" s="857">
        <f>IF(ISNUMBER((((NºAsuntos!C13+NºAsuntos!E13)/NºAsuntos!G13)-Datos!BG13)/Datos!BG13),(((NºAsuntos!C13+NºAsuntos!E13)/NºAsuntos!G13)-Datos!BG13)/Datos!BG13," - ")</f>
        <v>-2.2314133740175542E-2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0.16351019227989014</v>
      </c>
      <c r="C15" s="456">
        <f>IF(ISNUMBER(
   IF(D_I="SI",(Datos!J15-Datos!T15)/Datos!T15,(Datos!J15+Datos!AD15-(Datos!T15+Datos!AL15))/(Datos!T15+Datos!AL15))
     ),IF(D_I="SI",(Datos!J15-Datos!T15)/Datos!T15,(Datos!J15+Datos!AD15-(Datos!T15+Datos!AL15))/(Datos!T15+Datos!AL15))," - ")</f>
        <v>9.939542985961676E-3</v>
      </c>
      <c r="D15" s="456">
        <f>IF(ISNUMBER(
   IF(D_I="SI",(Datos!K15-Datos!U15)/Datos!U15,(Datos!K15+Datos!AE15-(Datos!U15+Datos!AM15))/(Datos!U15+Datos!AM15))
     ),IF(D_I="SI",(Datos!K15-Datos!U15)/Datos!U15,(Datos!K15+Datos!AE15-(Datos!U15+Datos!AM15))/(Datos!U15+Datos!AM15))," - ")</f>
        <v>1.2062726176115802E-2</v>
      </c>
      <c r="E15" s="456">
        <f>IF(ISNUMBER(
   IF(D_I="SI",(Datos!L15-Datos!V15)/Datos!V15,(Datos!L15+Datos!AF15-(Datos!V15+Datos!AN15))/(Datos!V15+Datos!AN15))
     ),IF(D_I="SI",(Datos!L15-Datos!V15)/Datos!V15,(Datos!L15+Datos!AF15-(Datos!V15+Datos!AN15))/(Datos!V15+Datos!AN15))," - ")</f>
        <v>0.17709529276693456</v>
      </c>
      <c r="F15" s="456">
        <f>IF(ISNUMBER((Datos!M15-Datos!W15)/Datos!W15),(Datos!M15-Datos!W15)/Datos!W15," - ")</f>
        <v>0.1988255033557047</v>
      </c>
      <c r="G15" s="457">
        <f>IF(ISNUMBER((Datos!N15-Datos!X15)/Datos!X15),(Datos!N15-Datos!X15)/Datos!X15," - ")</f>
        <v>-6.6264049656097973E-2</v>
      </c>
      <c r="H15" s="455">
        <f>IF(ISNUMBER(((NºAsuntos!G15/NºAsuntos!E15)-Datos!BD15)/Datos!BD15),((NºAsuntos!G15/NºAsuntos!E15)-Datos!BD15)/Datos!BD15," - ")</f>
        <v>2.1022874140334768E-3</v>
      </c>
      <c r="I15" s="456">
        <f>IF(ISNUMBER(((NºAsuntos!I15/NºAsuntos!G15)-Datos!BE15)/Datos!BE15),((NºAsuntos!I15/NºAsuntos!G15)-Datos!BE15)/Datos!BE15," - ")</f>
        <v>0.16306555149438468</v>
      </c>
      <c r="J15" s="461">
        <f>IF(ISNUMBER((('Resol  Asuntos'!D15/NºAsuntos!G15)-Datos!BF15)/Datos!BF15),(('Resol  Asuntos'!D15/NºAsuntos!G15)-Datos!BF15)/Datos!BF15," - ")</f>
        <v>0.18453676076505277</v>
      </c>
      <c r="K15" s="462">
        <f>IF(ISNUMBER((((NºAsuntos!C15+NºAsuntos!E15)/NºAsuntos!G15)-Datos!BG15)/Datos!BG15),(((NºAsuntos!C15+NºAsuntos!E15)/NºAsuntos!G15)-Datos!BG15)/Datos!BG15," - ")</f>
        <v>6.0842114351600689E-2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0.12457044673539519</v>
      </c>
      <c r="C17" s="456">
        <f>IF(ISNUMBER(
   IF(D_I="SI",(Datos!J17-Datos!T17)/Datos!T17,(Datos!J17+Datos!AD17-(Datos!T17+Datos!AL17))/(Datos!T17+Datos!AL17))
     ),IF(D_I="SI",(Datos!J17-Datos!T17)/Datos!T17,(Datos!J17+Datos!AD17-(Datos!T17+Datos!AL17))/(Datos!T17+Datos!AL17))," - ")</f>
        <v>-7.7355836849507739E-2</v>
      </c>
      <c r="D17" s="456">
        <f>IF(ISNUMBER(
   IF(D_I="SI",(Datos!K17-Datos!U17)/Datos!U17,(Datos!K17+Datos!AE17-(Datos!U17+Datos!AM17))/(Datos!U17+Datos!AM17))
     ),IF(D_I="SI",(Datos!K17-Datos!U17)/Datos!U17,(Datos!K17+Datos!AE17-(Datos!U17+Datos!AM17))/(Datos!U17+Datos!AM17))," - ")</f>
        <v>9.5168374816983897E-2</v>
      </c>
      <c r="E17" s="456">
        <f>IF(ISNUMBER(
   IF(D_I="SI",(Datos!L17-Datos!V17)/Datos!V17,(Datos!L17+Datos!AF17-(Datos!V17+Datos!AN17))/(Datos!V17+Datos!AN17))
     ),IF(D_I="SI",(Datos!L17-Datos!V17)/Datos!V17,(Datos!L17+Datos!AF17-(Datos!V17+Datos!AN17))/(Datos!V17+Datos!AN17))," - ")</f>
        <v>-7.7868852459016397E-2</v>
      </c>
      <c r="F17" s="456">
        <f>IF(ISNUMBER((Datos!M17-Datos!W17)/Datos!W17),(Datos!M17-Datos!W17)/Datos!W17," - ")</f>
        <v>0.29069767441860467</v>
      </c>
      <c r="G17" s="457">
        <f>IF(ISNUMBER((Datos!N17-Datos!X17)/Datos!X17),(Datos!N17-Datos!X17)/Datos!X17," - ")</f>
        <v>6.2032085561497328E-2</v>
      </c>
      <c r="H17" s="455">
        <f>IF(ISNUMBER(((NºAsuntos!G17/NºAsuntos!E17)-Datos!BD17)/Datos!BD17),((NºAsuntos!G17/NºAsuntos!E17)-Datos!BD17)/Datos!BD17," - ")</f>
        <v>0.18698889404706634</v>
      </c>
      <c r="I17" s="456">
        <f>IF(ISNUMBER(((NºAsuntos!I17/NºAsuntos!G17)-Datos!BE17)/Datos!BE17),((NºAsuntos!I17/NºAsuntos!G17)-Datos!BE17)/Datos!BE17," - ")</f>
        <v>-0.15800056982554575</v>
      </c>
      <c r="J17" s="461">
        <f>IF(ISNUMBER((('Resol  Asuntos'!D17/NºAsuntos!G17)-Datos!BF17)/Datos!BF17),(('Resol  Asuntos'!D17/NºAsuntos!G17)-Datos!BF17)/Datos!BF17," - ")</f>
        <v>0.17853811714960829</v>
      </c>
      <c r="K17" s="462">
        <f>IF(ISNUMBER((((NºAsuntos!C17+NºAsuntos!E17)/NºAsuntos!G17)-Datos!BG17)/Datos!BG17),(((NºAsuntos!C17+NºAsuntos!E17)/NºAsuntos!G17)-Datos!BG17)/Datos!BG17," - ")</f>
        <v>-7.4540098680265246E-2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0.15790124984531617</v>
      </c>
      <c r="C18" s="855">
        <f>IF(ISNUMBER(
   IF(Criterios!B14="SI",(Datos!J18-Datos!T18)/Datos!T18,(Datos!J18+Datos!AD18-(Datos!T18+Datos!AL18))/(Datos!T18+Datos!AL18))
     ),IF(Criterios!B14="SI",(Datos!J18-Datos!T18)/Datos!T18,(Datos!J18+Datos!AD18-(Datos!T18+Datos!AL18))/(Datos!T18+Datos!AL18))," - ")</f>
        <v>-1.1626867006528934E-3</v>
      </c>
      <c r="D18" s="855">
        <f>IF(ISNUMBER(
   IF(Criterios!B14="SI",(Datos!K18-Datos!U18)/Datos!U18,(Datos!K18+Datos!AE18-(Datos!U18+Datos!AM18))/(Datos!U18+Datos!AM18))
     ),IF(Criterios!B14="SI",(Datos!K18-Datos!U18)/Datos!U18,(Datos!K18+Datos!AE18-(Datos!U18+Datos!AM18))/(Datos!U18+Datos!AM18))," - ")</f>
        <v>2.2096517588828E-2</v>
      </c>
      <c r="E18" s="855">
        <f>IF(ISNUMBER(
   IF(Criterios!B14="SI",(Datos!L18-Datos!V18)/Datos!V18,(Datos!L18+Datos!AF18-(Datos!V18+Datos!AN18))/(Datos!V18+Datos!AN18))
     ),IF(Criterios!B14="SI",(Datos!L18-Datos!V18)/Datos!V18,(Datos!L18+Datos!AF18-(Datos!V18+Datos!AN18))/(Datos!V18+Datos!AN18))," - ")</f>
        <v>0.13910600879335613</v>
      </c>
      <c r="F18" s="856">
        <f>IF(ISNUMBER((Datos!M18-Datos!W18)/Datos!W18),(Datos!M18-Datos!W18)/Datos!W18," - ")</f>
        <v>0.20500782472613457</v>
      </c>
      <c r="G18" s="857">
        <f>IF(ISNUMBER((Datos!N18-Datos!X18)/Datos!X18),(Datos!N18-Datos!X18)/Datos!X18," - ")</f>
        <v>-4.8868909512761023E-2</v>
      </c>
      <c r="H18" s="857">
        <f>IF(ISNUMBER(((NºAsuntos!G18/NºAsuntos!E18)-Datos!BD18)/Datos!BD18),((NºAsuntos!G18/NºAsuntos!E18)-Datos!BD18)/Datos!BD18," - ")</f>
        <v>2.3286278936307653E-2</v>
      </c>
      <c r="I18" s="857">
        <f>IF(ISNUMBER(((NºAsuntos!I18/NºAsuntos!G18)-Datos!BE18)/Datos!BE18),((NºAsuntos!I18/NºAsuntos!G18)-Datos!BE18)/Datos!BE18," - ")</f>
        <v>0.11447988442476925</v>
      </c>
      <c r="J18" s="857">
        <f>IF(ISNUMBER((('Resol  Asuntos'!D18/NºAsuntos!G18)-Datos!BF18)/Datos!BF18),(('Resol  Asuntos'!D18/NºAsuntos!G18)-Datos!BF18)/Datos!BF18," - ")</f>
        <v>0.17895698105772115</v>
      </c>
      <c r="K18" s="857">
        <f>IF(ISNUMBER((((NºAsuntos!C18+NºAsuntos!E18)/NºAsuntos!G18)-Datos!BG18)/Datos!BG18),(((NºAsuntos!C18+NºAsuntos!E18)/NºAsuntos!G18)-Datos!BG18)/Datos!BG18," - ")</f>
        <v>4.2533162740043498E-2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0.24113082039911307</v>
      </c>
      <c r="C19" s="802">
        <f>IF(ISNUMBER(
   IF(J_V="SI",(Datos!J19-Datos!T19)/Datos!T19,(Datos!J19+Datos!Z19-(Datos!T19+Datos!AH19))/(Datos!T19+Datos!AH19))
     ),IF(J_V="SI",(Datos!J19-Datos!T19)/Datos!T19,(Datos!J19+Datos!Z19-(Datos!T19+Datos!AH19))/(Datos!T19+Datos!AH19))," - ")</f>
        <v>-3.9226926541642781E-2</v>
      </c>
      <c r="D19" s="802">
        <f>IF(ISNUMBER(
   IF(J_V="SI",(Datos!K19-Datos!U19)/Datos!U19,(Datos!K19+Datos!AA19-(Datos!U19+Datos!AI19))/(Datos!U19+Datos!AI19))
     ),IF(J_V="SI",(Datos!K19-Datos!U19)/Datos!U19,(Datos!K19+Datos!AA19-(Datos!U19+Datos!AI19))/(Datos!U19+Datos!AI19))," - ")</f>
        <v>9.7716809170346711E-2</v>
      </c>
      <c r="E19" s="802">
        <f>IF(ISNUMBER(
   IF(J_V="SI",(Datos!L19-Datos!V19)/Datos!V19,(Datos!L19+Datos!AB19-(Datos!V19+Datos!AJ19))/(Datos!V19+Datos!AJ19))
     ),IF(J_V="SI",(Datos!L19-Datos!V19)/Datos!V19,(Datos!L19+Datos!AB19-(Datos!V19+Datos!AJ19))/(Datos!V19+Datos!AJ19))," - ")</f>
        <v>0.16397489970167678</v>
      </c>
      <c r="F19" s="803">
        <f>IF(ISNUMBER((Datos!M19-Datos!W19)/Datos!W19),(Datos!M19-Datos!W19)/Datos!W19," - ")</f>
        <v>0.24941543257989088</v>
      </c>
      <c r="G19" s="804">
        <f>IF(ISNUMBER((Datos!N19-Datos!X19)/Datos!X19),(Datos!N19-Datos!X19)/Datos!X19," - ")</f>
        <v>-1.3025247568917833E-2</v>
      </c>
      <c r="H19" s="805">
        <f>IF(ISNUMBER((Tasas!B19-Datos!BD19)/Datos!BD19),(Tasas!B19-Datos!BD19)/Datos!BD19," - ")</f>
        <v>0.14253494346906778</v>
      </c>
      <c r="I19" s="806">
        <f>IF(ISNUMBER((Tasas!C19-Datos!BE19)/Datos!BE19),(Tasas!C19-Datos!BE19)/Datos!BE19," - ")</f>
        <v>6.0359912481806596E-2</v>
      </c>
      <c r="J19" s="807">
        <f>IF(ISNUMBER((Tasas!D19-Datos!BF19)/Datos!BF19),(Tasas!D19-Datos!BF19)/Datos!BF19," - ")</f>
        <v>-0.219228065559402</v>
      </c>
      <c r="K19" s="807">
        <f>IF(ISNUMBER((Tasas!E19-Datos!BG19)/Datos!BG19),(Tasas!E19-Datos!BG19)/Datos!BG19," - ")</f>
        <v>2.7553466024608616E-2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2XH+sajI+T6qh2RfSwDiRY/IbT7Pk5w28oT72o/mgvXuhi2FONMmWTFFSKTvoIvgeDgTNQcuDT8wDKGBgl5Zg==" saltValue="NX7el4UeROY8mEnBKzXE1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PALMA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0.95173929663608559</v>
      </c>
      <c r="C9" s="443">
        <f>IF(ISNUMBER(NºAsuntos!I9/NºAsuntos!G9),NºAsuntos!I9/NºAsuntos!G9," - ")</f>
        <v>3.392810523144894</v>
      </c>
      <c r="D9" s="444">
        <f>IF(ISNUMBER('Resol  Asuntos'!D9/NºAsuntos!G9),'Resol  Asuntos'!D9/NºAsuntos!G9," - ")</f>
        <v>0.26850085349934733</v>
      </c>
      <c r="E9" s="445">
        <f>IF(ISNUMBER((NºAsuntos!C9+NºAsuntos!E9)/NºAsuntos!G9),(NºAsuntos!C9+NºAsuntos!E9)/NºAsuntos!G9," - ")</f>
        <v>4.3926096997690527</v>
      </c>
      <c r="G9" s="463"/>
    </row>
    <row r="10" spans="1:7">
      <c r="A10" s="402" t="str">
        <f>Datos!A10</f>
        <v>Jdos. Violencia contra la mujer</v>
      </c>
      <c r="B10" s="442">
        <f>IF(ISNUMBER(NºAsuntos!G10/NºAsuntos!E10),NºAsuntos!G10/NºAsuntos!E10," - ")</f>
        <v>0.74712643678160917</v>
      </c>
      <c r="C10" s="443">
        <f>IF(ISNUMBER(NºAsuntos!I10/NºAsuntos!G10),NºAsuntos!I10/NºAsuntos!G10," - ")</f>
        <v>2.4692307692307693</v>
      </c>
      <c r="D10" s="444">
        <f>IF(ISNUMBER('Resol  Asuntos'!D10/NºAsuntos!G10),'Resol  Asuntos'!D10/NºAsuntos!G10," - ")</f>
        <v>0.5461538461538461</v>
      </c>
      <c r="E10" s="445">
        <f>IF(ISNUMBER((NºAsuntos!C10+NºAsuntos!E10)/NºAsuntos!G10),(NºAsuntos!C10+NºAsuntos!E10)/NºAsuntos!G10," - ")</f>
        <v>3.4692307692307693</v>
      </c>
      <c r="G10" s="463"/>
    </row>
    <row r="11" spans="1:7">
      <c r="A11" s="402" t="str">
        <f>Datos!A11</f>
        <v xml:space="preserve">Jdos. Familia                                   </v>
      </c>
      <c r="B11" s="442">
        <f>IF(ISNUMBER(NºAsuntos!G11/NºAsuntos!E11),NºAsuntos!G11/NºAsuntos!E11," - ")</f>
        <v>1.0331724969843186</v>
      </c>
      <c r="C11" s="443">
        <f>IF(ISNUMBER(NºAsuntos!I11/NºAsuntos!G11),NºAsuntos!I11/NºAsuntos!G11," - ")</f>
        <v>1.0642148277875072</v>
      </c>
      <c r="D11" s="444">
        <f>IF(ISNUMBER('Resol  Asuntos'!D11/NºAsuntos!G11),'Resol  Asuntos'!D11/NºAsuntos!G11," - ")</f>
        <v>0.30589608873321655</v>
      </c>
      <c r="E11" s="445">
        <f>IF(ISNUMBER((NºAsuntos!C11+NºAsuntos!E11)/NºAsuntos!G11),(NºAsuntos!C11+NºAsuntos!E11)/NºAsuntos!G11," - ")</f>
        <v>2.0560420315236425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0.95982433311646065</v>
      </c>
      <c r="C13" s="859">
        <f>IF(ISNUMBER(NºAsuntos!I13/NºAsuntos!G13),NºAsuntos!I13/NºAsuntos!G13," - ")</f>
        <v>3.0446534485680394</v>
      </c>
      <c r="D13" s="860">
        <f>IF(ISNUMBER('Resol  Asuntos'!D13/NºAsuntos!G13),'Resol  Asuntos'!D13/NºAsuntos!G13," - ")</f>
        <v>0.27698695136417556</v>
      </c>
      <c r="E13" s="861">
        <f>IF(ISNUMBER((NºAsuntos!C13+NºAsuntos!E13)/NºAsuntos!G13),(NºAsuntos!C13+NºAsuntos!E13)/NºAsuntos!G13," - ")</f>
        <v>4.043297746144721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1.0215097402597402</v>
      </c>
      <c r="C15" s="443">
        <f>IF(ISNUMBER(NºAsuntos!I15/NºAsuntos!G15),NºAsuntos!I15/NºAsuntos!G15," - ")</f>
        <v>0.81466030989272942</v>
      </c>
      <c r="D15" s="444">
        <f>IF(ISNUMBER('Resol  Asuntos'!D15/NºAsuntos!G15),'Resol  Asuntos'!D15/NºAsuntos!G15," - ")</f>
        <v>0.14193484306714343</v>
      </c>
      <c r="E15" s="445">
        <f>IF(ISNUMBER((NºAsuntos!C15+NºAsuntos!E15)/NºAsuntos!G15),(NºAsuntos!C15+NºAsuntos!E15)/NºAsuntos!G15," - ")</f>
        <v>1.7783075089392133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1.1402439024390243</v>
      </c>
      <c r="C17" s="443">
        <f>IF(ISNUMBER(NºAsuntos!I17/NºAsuntos!G17),NºAsuntos!I17/NºAsuntos!G17," - ")</f>
        <v>0.75200534759358284</v>
      </c>
      <c r="D17" s="444">
        <f>IF(ISNUMBER('Resol  Asuntos'!D17/NºAsuntos!G17),'Resol  Asuntos'!D17/NºAsuntos!G17," - ")</f>
        <v>7.419786096256685E-2</v>
      </c>
      <c r="E17" s="445">
        <f>IF(ISNUMBER((NºAsuntos!C17+NºAsuntos!E17)/NºAsuntos!G17),(NºAsuntos!C17+NºAsuntos!E17)/NºAsuntos!G17," - ")</f>
        <v>1.7520053475935828</v>
      </c>
      <c r="G17" s="463"/>
    </row>
    <row r="18" spans="1:7" ht="14.25" thickTop="1" thickBot="1">
      <c r="A18" s="848" t="str">
        <f>Datos!A18</f>
        <v>TOTAL</v>
      </c>
      <c r="B18" s="858">
        <f>IF(ISNUMBER(NºAsuntos!G18/NºAsuntos!E18),NºAsuntos!G18/NºAsuntos!E18," - ")</f>
        <v>1.0354584527220629</v>
      </c>
      <c r="C18" s="859">
        <f>IF(ISNUMBER(NºAsuntos!I18/NºAsuntos!G18),NºAsuntos!I18/NºAsuntos!G18," - ")</f>
        <v>0.80655482531995848</v>
      </c>
      <c r="D18" s="862">
        <f>IF(ISNUMBER('Resol  Asuntos'!D18/NºAsuntos!G18),'Resol  Asuntos'!D18/NºAsuntos!G18," - ")</f>
        <v>0.13317191283292978</v>
      </c>
      <c r="E18" s="861">
        <f>IF(ISNUMBER((NºAsuntos!C18+NºAsuntos!E18)/NºAsuntos!G18),(NºAsuntos!C18+NºAsuntos!E18)/NºAsuntos!G18," - ")</f>
        <v>1.7749048772051192</v>
      </c>
      <c r="G18" s="463"/>
    </row>
    <row r="19" spans="1:7" ht="15.75" customHeight="1" thickTop="1" thickBot="1">
      <c r="A19" s="793" t="str">
        <f>Datos!A19</f>
        <v>TOTAL JURISDICCIONES</v>
      </c>
      <c r="B19" s="808">
        <f>IF(ISNUMBER(NºAsuntos!G19/NºAsuntos!E19),NºAsuntos!G19/NºAsuntos!E19," - ")</f>
        <v>0.99582338902147971</v>
      </c>
      <c r="C19" s="809">
        <f>IF(ISNUMBER(NºAsuntos!I19/NºAsuntos!G19),NºAsuntos!I19/NºAsuntos!G19," - ")</f>
        <v>1.9370024822391509</v>
      </c>
      <c r="D19" s="810">
        <f>IF(ISNUMBER('Resol  Asuntos'!D19/NºAsuntos!G19),'Resol  Asuntos'!D19/NºAsuntos!G19," - ")</f>
        <v>0.20581186339125224</v>
      </c>
      <c r="E19" s="811">
        <f>IF(ISNUMBER((NºAsuntos!C19+NºAsuntos!E19)/NºAsuntos!G19),(NºAsuntos!C19+NºAsuntos!E19)/NºAsuntos!G19," - ")</f>
        <v>2.9206539416245829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rLVqh5tIWrmZpdA7XfmfAUN+vJ2hmoNUhMQmozJsyPZ24YQHOpDHjyvEQJIkYD2YOUVBDMzqNmcOESfajEwXQ==" saltValue="1gWVUIcu2osfWp9uS3QdU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PALMA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20</v>
      </c>
      <c r="B9" s="177" t="s">
        <v>246</v>
      </c>
      <c r="C9" s="160" t="str">
        <f>Datos!A9</f>
        <v xml:space="preserve">Jdos. 1ª Instancia   </v>
      </c>
      <c r="D9" s="160"/>
      <c r="E9" s="1025">
        <f>IF(ISNUMBER(Datos!AQ9),Datos!AQ9," - ")</f>
        <v>20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2508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1839</v>
      </c>
      <c r="Y9" s="334">
        <f>SUM(W9:X9)</f>
        <v>1839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37234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2674</v>
      </c>
      <c r="AJ9" s="229" t="str">
        <f>IF(ISNUMBER(Datos!BW9),Datos!BW9," - ")</f>
        <v xml:space="preserve"> - </v>
      </c>
      <c r="AK9" s="228" t="str">
        <f>IF(ISNUMBER(Datos!BX9),Datos!BX9," - ")</f>
        <v xml:space="preserve"> - </v>
      </c>
      <c r="AL9" s="243">
        <f>IF(ISNUMBER(NºAsuntos!G9/NºAsuntos!E9),NºAsuntos!G9/NºAsuntos!E9," - ")</f>
        <v>0.95173929663608559</v>
      </c>
      <c r="AM9" s="260">
        <f>IF(ISNUMBER(((NºAsuntos!I9/NºAsuntos!G9)*11)/factor_trimestre),((NºAsuntos!I9/NºAsuntos!G9)*11)/factor_trimestre," - ")</f>
        <v>10.178431569434682</v>
      </c>
      <c r="AN9" s="244">
        <f>IF(ISNUMBER('Resol  Asuntos'!D9/NºAsuntos!G9),'Resol  Asuntos'!D9/NºAsuntos!G9," - ")</f>
        <v>0.26850085349934733</v>
      </c>
      <c r="AO9" s="245">
        <f>IF(ISNUMBER((NºAsuntos!C9+NºAsuntos!E9)/NºAsuntos!G9),(NºAsuntos!C9+NºAsuntos!E9)/NºAsuntos!G9," - ")</f>
        <v>4.3926096997690527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277</v>
      </c>
      <c r="G10" s="333">
        <f>IF(ISNUMBER(Datos!I10),Datos!I10," - ")</f>
        <v>277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130</v>
      </c>
      <c r="X10" s="226">
        <f>IF(ISNUMBER(Datos!Q10),Datos!Q10," - ")</f>
        <v>31</v>
      </c>
      <c r="Y10" s="334">
        <f t="shared" ref="Y10:Y12" si="0">SUM(W10:X10)</f>
        <v>161</v>
      </c>
      <c r="Z10" s="335" t="str">
        <f>IF(ISNUMBER(Datos!CC10),Datos!CC10," - ")</f>
        <v xml:space="preserve"> - </v>
      </c>
      <c r="AA10" s="332">
        <f>IF(ISNUMBER(Datos!L10),Datos!L10,"-")</f>
        <v>321</v>
      </c>
      <c r="AB10" s="334">
        <f>IF(ISNUMBER(Datos!R10),Datos!R10," - ")</f>
        <v>365</v>
      </c>
      <c r="AC10" s="334">
        <f t="shared" ref="AC10:AC12" si="1">IF(ISNUMBER(AA10+AB10),AA10+AB10," - ")</f>
        <v>686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71</v>
      </c>
      <c r="AJ10" s="231" t="str">
        <f>IF(ISNUMBER(Datos!BW10),Datos!BW10," - ")</f>
        <v xml:space="preserve"> - </v>
      </c>
      <c r="AK10" s="232" t="str">
        <f>IF(ISNUMBER(Datos!BX10),Datos!BX10," - ")</f>
        <v xml:space="preserve"> - </v>
      </c>
      <c r="AL10" s="243">
        <f>IF(ISNUMBER(NºAsuntos!G10/NºAsuntos!E10),NºAsuntos!G10/NºAsuntos!E10," - ")</f>
        <v>0.74712643678160917</v>
      </c>
      <c r="AM10" s="260">
        <f>IF(ISNUMBER(((NºAsuntos!I10/NºAsuntos!G10)*11)/factor_trimestre),((NºAsuntos!I10/NºAsuntos!G10)*11)/factor_trimestre," - ")</f>
        <v>7.407692307692308</v>
      </c>
      <c r="AN10" s="244">
        <f>IF(ISNUMBER('Resol  Asuntos'!D10/NºAsuntos!G10),'Resol  Asuntos'!D10/NºAsuntos!G10," - ")</f>
        <v>0.5461538461538461</v>
      </c>
      <c r="AO10" s="245">
        <f>IF(ISNUMBER((NºAsuntos!C10+NºAsuntos!E10)/NºAsuntos!G10),(NºAsuntos!C10+NºAsuntos!E10)/NºAsuntos!G10," - ")</f>
        <v>3.4692307692307693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172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188</v>
      </c>
      <c r="Y11" s="334">
        <f t="shared" si="0"/>
        <v>188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1358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524</v>
      </c>
      <c r="AJ11" s="231" t="str">
        <f>IF(ISNUMBER(Datos!BW11),Datos!BW11," - ")</f>
        <v xml:space="preserve"> - </v>
      </c>
      <c r="AK11" s="232" t="str">
        <f>IF(ISNUMBER(Datos!BX11),Datos!BX11," - ")</f>
        <v xml:space="preserve"> - </v>
      </c>
      <c r="AL11" s="243">
        <f>IF(ISNUMBER(NºAsuntos!G11/NºAsuntos!E11),NºAsuntos!G11/NºAsuntos!E11," - ")</f>
        <v>1.0331724969843186</v>
      </c>
      <c r="AM11" s="260">
        <f>IF(ISNUMBER(((NºAsuntos!I11/NºAsuntos!G11)*11)/factor_trimestre),((NºAsuntos!I11/NºAsuntos!G11)*11)/factor_trimestre," - ")</f>
        <v>3.1926444833625216</v>
      </c>
      <c r="AN11" s="244">
        <f>IF(ISNUMBER('Resol  Asuntos'!D11/NºAsuntos!G11),'Resol  Asuntos'!D11/NºAsuntos!G11," - ")</f>
        <v>0.30589608873321655</v>
      </c>
      <c r="AO11" s="245">
        <f>IF(ISNUMBER((NºAsuntos!C11+NºAsuntos!E11)/NºAsuntos!G11),(NºAsuntos!C11+NºAsuntos!E11)/NºAsuntos!G11," - ")</f>
        <v>2.0560420315236425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27</v>
      </c>
      <c r="F13" s="865">
        <f t="shared" si="3"/>
        <v>277</v>
      </c>
      <c r="G13" s="866">
        <f t="shared" si="3"/>
        <v>277</v>
      </c>
      <c r="H13" s="865">
        <f t="shared" si="3"/>
        <v>0</v>
      </c>
      <c r="I13" s="867">
        <f t="shared" si="3"/>
        <v>0</v>
      </c>
      <c r="J13" s="867">
        <f t="shared" si="3"/>
        <v>0</v>
      </c>
      <c r="K13" s="867">
        <f t="shared" si="3"/>
        <v>0</v>
      </c>
      <c r="L13" s="867">
        <f t="shared" si="3"/>
        <v>2744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130</v>
      </c>
      <c r="X13" s="867">
        <f t="shared" si="4"/>
        <v>2058</v>
      </c>
      <c r="Y13" s="868">
        <f t="shared" si="4"/>
        <v>2188</v>
      </c>
      <c r="Z13" s="868">
        <f t="shared" si="4"/>
        <v>0</v>
      </c>
      <c r="AA13" s="868">
        <f t="shared" si="4"/>
        <v>321</v>
      </c>
      <c r="AB13" s="868">
        <f t="shared" si="4"/>
        <v>38957</v>
      </c>
      <c r="AC13" s="868">
        <f t="shared" si="4"/>
        <v>686</v>
      </c>
      <c r="AD13" s="868">
        <f t="shared" si="4"/>
        <v>0</v>
      </c>
      <c r="AE13" s="872">
        <f t="shared" si="4"/>
        <v>0</v>
      </c>
      <c r="AF13" s="865">
        <f t="shared" si="4"/>
        <v>0</v>
      </c>
      <c r="AG13" s="873">
        <f t="shared" si="4"/>
        <v>0</v>
      </c>
      <c r="AH13" s="870">
        <f t="shared" si="4"/>
        <v>0</v>
      </c>
      <c r="AI13" s="865">
        <f t="shared" si="4"/>
        <v>3269</v>
      </c>
      <c r="AJ13" s="867">
        <f t="shared" si="4"/>
        <v>0</v>
      </c>
      <c r="AK13" s="870">
        <f>SUBTOTAL(9,AK9:AK12)</f>
        <v>0</v>
      </c>
      <c r="AL13" s="874">
        <f>IF(ISNUMBER(NºAsuntos!G13/NºAsuntos!E13),NºAsuntos!G13/NºAsuntos!E13," - ")</f>
        <v>0.95982433311646065</v>
      </c>
      <c r="AM13" s="874">
        <f>IF(ISNUMBER(((NºAsuntos!I13/NºAsuntos!G13)*11)/factor_trimestre),((NºAsuntos!I13/NºAsuntos!G13)*11)/factor_trimestre," - ")</f>
        <v>9.1339603457041196</v>
      </c>
      <c r="AN13" s="875">
        <f>IF(ISNUMBER('Resol  Asuntos'!D13/NºAsuntos!G13),'Resol  Asuntos'!D13/NºAsuntos!G13," - ")</f>
        <v>0.27698695136417556</v>
      </c>
      <c r="AO13" s="876">
        <f>IF(ISNUMBER((NºAsuntos!C13+NºAsuntos!E13)/NºAsuntos!G13),(NºAsuntos!C13+NºAsuntos!E13)/NºAsuntos!G13," - ")</f>
        <v>4.043297746144721</v>
      </c>
      <c r="AP13" s="877" t="str">
        <f t="shared" si="2"/>
        <v xml:space="preserve"> - </v>
      </c>
      <c r="AQ13" s="877">
        <f>IF(ISNUMBER((H13-W13+K13)/(F13)),(H13-W13+K13)/(F13)," - ")</f>
        <v>-0.46931407942238268</v>
      </c>
      <c r="AR13" s="878">
        <f>IF(ISNUMBER((Datos!P13-Datos!Q13)/(Datos!R13-Datos!P13+Datos!Q13)),(Datos!P13-Datos!Q13)/(Datos!R13-Datos!P13+Datos!Q13)," - ")</f>
        <v>1.7924799456507538E-2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12</v>
      </c>
      <c r="B15" s="275" t="s">
        <v>396</v>
      </c>
      <c r="C15" s="160" t="str">
        <f>Datos!A15</f>
        <v xml:space="preserve">Jdos. Instrucción                               </v>
      </c>
      <c r="D15" s="160"/>
      <c r="E15" s="1025">
        <f>IF(ISNUMBER(Datos!AQ15),Datos!AQ15," - ")</f>
        <v>12</v>
      </c>
      <c r="F15" s="225">
        <f>IF(ISNUMBER(AA15+W15-Datos!J15-K15),AA15+W15-Datos!J15-K15," - ")</f>
        <v>8414</v>
      </c>
      <c r="G15" s="333">
        <f>IF(ISNUMBER(IF(D_I="SI",Datos!I15,Datos!I15+Datos!AC15)),IF(D_I="SI",Datos!I15,Datos!I15+Datos!AC15)," - ")</f>
        <v>8048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592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10068</v>
      </c>
      <c r="X15" s="226">
        <f>IF(ISNUMBER(Datos!Q15),Datos!Q15," - ")</f>
        <v>555</v>
      </c>
      <c r="Y15" s="334">
        <f>SUM(W15)</f>
        <v>10068</v>
      </c>
      <c r="Z15" s="335" t="str">
        <f>IF(ISNUMBER(Datos!CC15),Datos!CC15," - ")</f>
        <v xml:space="preserve"> - </v>
      </c>
      <c r="AA15" s="332">
        <f>IF(ISNUMBER(IF(D_I="SI",Datos!L15,Datos!L15+Datos!AF15)),IF(D_I="SI",Datos!L15,Datos!L15+Datos!AF15)," - ")</f>
        <v>8202</v>
      </c>
      <c r="AB15" s="334">
        <f>IF(ISNUMBER(Datos!R15),Datos!R15," - ")</f>
        <v>1314</v>
      </c>
      <c r="AC15" s="334">
        <f t="shared" ref="AC15:AC17" si="6">IF(ISNUMBER(AA15+AB15),AA15+AB15," - ")</f>
        <v>9516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1429</v>
      </c>
      <c r="AJ15" s="231" t="str">
        <f>IF(ISNUMBER(Datos!BW15),Datos!BW15," - ")</f>
        <v xml:space="preserve"> - </v>
      </c>
      <c r="AK15" s="232" t="str">
        <f>IF(ISNUMBER(Datos!BX15),Datos!BX15," - ")</f>
        <v xml:space="preserve"> - </v>
      </c>
      <c r="AL15" s="243">
        <f>IF(ISNUMBER(NºAsuntos!G15/NºAsuntos!E15),NºAsuntos!G15/NºAsuntos!E15," - ")</f>
        <v>1.0215097402597402</v>
      </c>
      <c r="AM15" s="260">
        <f>IF(ISNUMBER(((NºAsuntos!I15/NºAsuntos!G15)*11)/factor_trimestre),((NºAsuntos!I15/NºAsuntos!G15)*11)/factor_trimestre," - ")</f>
        <v>2.4439809296781885</v>
      </c>
      <c r="AN15" s="244">
        <f>IF(ISNUMBER('Resol  Asuntos'!D15/NºAsuntos!G15),'Resol  Asuntos'!D15/NºAsuntos!G15," - ")</f>
        <v>0.14193484306714343</v>
      </c>
      <c r="AO15" s="245">
        <f>IF(ISNUMBER((NºAsuntos!C15+NºAsuntos!E15)/NºAsuntos!G15),(NºAsuntos!C15+NºAsuntos!E15)/NºAsuntos!G15," - ")</f>
        <v>1.7783075089392133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1309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1496</v>
      </c>
      <c r="X17" s="226">
        <f>IF(ISNUMBER(Datos!Q17),Datos!Q17," - ")</f>
        <v>15</v>
      </c>
      <c r="Y17" s="334">
        <f t="shared" si="7"/>
        <v>1511</v>
      </c>
      <c r="Z17" s="335" t="str">
        <f>IF(ISNUMBER(Datos!CC17),Datos!CC17," - ")</f>
        <v xml:space="preserve"> - </v>
      </c>
      <c r="AA17" s="332">
        <f>IF(ISNUMBER(Datos!L17),Datos!L17,"-")</f>
        <v>1125</v>
      </c>
      <c r="AB17" s="334">
        <f>IF(ISNUMBER(Datos!R17),Datos!R17," - ")</f>
        <v>52</v>
      </c>
      <c r="AC17" s="334">
        <f t="shared" si="6"/>
        <v>1177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111</v>
      </c>
      <c r="AJ17" s="231" t="str">
        <f>IF(ISNUMBER(Datos!BW17),Datos!BW17," - ")</f>
        <v xml:space="preserve"> - </v>
      </c>
      <c r="AK17" s="232" t="str">
        <f>IF(ISNUMBER(Datos!BX17),Datos!BX17," - ")</f>
        <v xml:space="preserve"> - </v>
      </c>
      <c r="AL17" s="243">
        <f>IF(ISNUMBER(NºAsuntos!G17/NºAsuntos!E17),NºAsuntos!G17/NºAsuntos!E17," - ")</f>
        <v>1.1402439024390243</v>
      </c>
      <c r="AM17" s="260">
        <f>IF(ISNUMBER(((NºAsuntos!I17/NºAsuntos!G17)*11)/factor_trimestre),((NºAsuntos!I17/NºAsuntos!G17)*11)/factor_trimestre," - ")</f>
        <v>2.2560160427807485</v>
      </c>
      <c r="AN17" s="244">
        <f>IF(ISNUMBER('Resol  Asuntos'!D17/NºAsuntos!G17),'Resol  Asuntos'!D17/NºAsuntos!G17," - ")</f>
        <v>7.419786096256685E-2</v>
      </c>
      <c r="AO17" s="245">
        <f>IF(ISNUMBER((NºAsuntos!C17+NºAsuntos!E17)/NºAsuntos!G17),(NºAsuntos!C17+NºAsuntos!E17)/NºAsuntos!G17," - ")</f>
        <v>1.7520053475935828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15</v>
      </c>
      <c r="F18" s="865">
        <f>SUBTOTAL(9,F14:F17)</f>
        <v>8414</v>
      </c>
      <c r="G18" s="866">
        <f>SUBTOTAL(9,G15:G17)</f>
        <v>9357</v>
      </c>
      <c r="H18" s="865">
        <f t="shared" ref="H18:O18" si="10">SUBTOTAL(9,H14:H17)</f>
        <v>0</v>
      </c>
      <c r="I18" s="867">
        <f t="shared" si="10"/>
        <v>0</v>
      </c>
      <c r="J18" s="867">
        <f t="shared" si="10"/>
        <v>0</v>
      </c>
      <c r="K18" s="867">
        <f t="shared" si="10"/>
        <v>0</v>
      </c>
      <c r="L18" s="867">
        <f t="shared" si="10"/>
        <v>630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11564</v>
      </c>
      <c r="X18" s="867">
        <f t="shared" si="11"/>
        <v>570</v>
      </c>
      <c r="Y18" s="868">
        <f t="shared" si="11"/>
        <v>11579</v>
      </c>
      <c r="Z18" s="868">
        <f t="shared" si="11"/>
        <v>0</v>
      </c>
      <c r="AA18" s="868">
        <f t="shared" si="11"/>
        <v>9327</v>
      </c>
      <c r="AB18" s="868">
        <f t="shared" si="11"/>
        <v>1366</v>
      </c>
      <c r="AC18" s="868">
        <f t="shared" si="11"/>
        <v>10693</v>
      </c>
      <c r="AD18" s="868">
        <f t="shared" si="11"/>
        <v>0</v>
      </c>
      <c r="AE18" s="872">
        <f t="shared" si="11"/>
        <v>0</v>
      </c>
      <c r="AF18" s="865">
        <f t="shared" si="11"/>
        <v>0</v>
      </c>
      <c r="AG18" s="873">
        <f t="shared" si="11"/>
        <v>0</v>
      </c>
      <c r="AH18" s="870">
        <f t="shared" si="11"/>
        <v>0</v>
      </c>
      <c r="AI18" s="865">
        <f t="shared" si="11"/>
        <v>1540</v>
      </c>
      <c r="AJ18" s="867">
        <f t="shared" si="11"/>
        <v>0</v>
      </c>
      <c r="AK18" s="870">
        <f t="shared" si="11"/>
        <v>0</v>
      </c>
      <c r="AL18" s="874">
        <f>IF(ISNUMBER(NºAsuntos!G18/NºAsuntos!E18),NºAsuntos!G18/NºAsuntos!E18," - ")</f>
        <v>1.0354584527220629</v>
      </c>
      <c r="AM18" s="874">
        <f>IF(ISNUMBER(((NºAsuntos!I18/NºAsuntos!G18)*11)/factor_trimestre),((NºAsuntos!I18/NºAsuntos!G18)*11)/factor_trimestre," - ")</f>
        <v>2.4196644759598755</v>
      </c>
      <c r="AN18" s="875">
        <f>IF(ISNUMBER('Resol  Asuntos'!D18/NºAsuntos!G18),'Resol  Asuntos'!D18/NºAsuntos!G18," - ")</f>
        <v>0.13317191283292978</v>
      </c>
      <c r="AO18" s="876">
        <f>IF(ISNUMBER((NºAsuntos!C18+NºAsuntos!E18)/NºAsuntos!G18),(NºAsuntos!C18+NºAsuntos!E18)/NºAsuntos!G18," - ")</f>
        <v>1.7749048772051192</v>
      </c>
      <c r="AP18" s="877" t="str">
        <f t="shared" si="2"/>
        <v xml:space="preserve"> - </v>
      </c>
      <c r="AQ18" s="877">
        <f>IF(ISNUMBER((H18-W18+K18)/(F18)),(H18-W18+K18)/(F18)," - ")</f>
        <v>-1.3743760399334441</v>
      </c>
      <c r="AR18" s="878">
        <f>IF(ISNUMBER((Datos!P18-Datos!Q18)/(Datos!R18-Datos!P18+Datos!Q18)),(Datos!P18-Datos!Q18)/(Datos!R18-Datos!P18+Datos!Q18)," - ")</f>
        <v>4.5941807044410414E-2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42</v>
      </c>
      <c r="F19" s="820">
        <f t="shared" si="13"/>
        <v>8691</v>
      </c>
      <c r="G19" s="821">
        <f t="shared" si="13"/>
        <v>9634</v>
      </c>
      <c r="H19" s="820">
        <f t="shared" si="13"/>
        <v>0</v>
      </c>
      <c r="I19" s="822">
        <f t="shared" si="13"/>
        <v>0</v>
      </c>
      <c r="J19" s="822">
        <f t="shared" si="13"/>
        <v>0</v>
      </c>
      <c r="K19" s="881">
        <f t="shared" si="13"/>
        <v>0</v>
      </c>
      <c r="L19" s="822">
        <f t="shared" si="13"/>
        <v>3374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11694</v>
      </c>
      <c r="X19" s="821">
        <f t="shared" si="14"/>
        <v>2628</v>
      </c>
      <c r="Y19" s="828">
        <f t="shared" si="14"/>
        <v>13767</v>
      </c>
      <c r="Z19" s="828">
        <f t="shared" si="14"/>
        <v>0</v>
      </c>
      <c r="AA19" s="828">
        <f t="shared" si="14"/>
        <v>9648</v>
      </c>
      <c r="AB19" s="828">
        <f t="shared" si="14"/>
        <v>40323</v>
      </c>
      <c r="AC19" s="828">
        <f t="shared" si="14"/>
        <v>11379</v>
      </c>
      <c r="AD19" s="828">
        <f t="shared" si="14"/>
        <v>0</v>
      </c>
      <c r="AE19" s="830">
        <f t="shared" si="14"/>
        <v>0</v>
      </c>
      <c r="AF19" s="831">
        <f t="shared" si="14"/>
        <v>0</v>
      </c>
      <c r="AG19" s="832">
        <f t="shared" si="14"/>
        <v>0</v>
      </c>
      <c r="AH19" s="830">
        <f t="shared" si="14"/>
        <v>0</v>
      </c>
      <c r="AI19" s="820">
        <f t="shared" si="14"/>
        <v>4809</v>
      </c>
      <c r="AJ19" s="820">
        <f t="shared" si="14"/>
        <v>0</v>
      </c>
      <c r="AK19" s="830">
        <f t="shared" si="14"/>
        <v>0</v>
      </c>
      <c r="AL19" s="884">
        <f>IF(ISNUMBER(NºAsuntos!G19/NºAsuntos!E19),NºAsuntos!G19/NºAsuntos!E19," - ")</f>
        <v>0.99582338902147971</v>
      </c>
      <c r="AM19" s="885">
        <f>IF(ISNUMBER(((NºAsuntos!I19/NºAsuntos!G19)*11)/factor_trimestre),((NºAsuntos!I19/NºAsuntos!G19)*11)/factor_trimestre," - ")</f>
        <v>5.8110074467174533</v>
      </c>
      <c r="AN19" s="885">
        <f>IF(ISNUMBER('Resol  Asuntos'!D19/NºAsuntos!G19),'Resol  Asuntos'!D19/NºAsuntos!G19," - ")</f>
        <v>0.20581186339125224</v>
      </c>
      <c r="AO19" s="886">
        <f>IF(ISNUMBER((NºAsuntos!C19+NºAsuntos!E19)/NºAsuntos!G19),(NºAsuntos!C19+NºAsuntos!E19)/NºAsuntos!G19," - ")</f>
        <v>2.9206539416245829</v>
      </c>
      <c r="AP19" s="887" t="str">
        <f t="shared" si="2"/>
        <v xml:space="preserve"> - </v>
      </c>
      <c r="AQ19" s="888">
        <f>IF(OR(ISNUMBER(FIND("01",Criterios!A8,1)),ISNUMBER(FIND("02",Criterios!A8,1)),ISNUMBER(FIND("03",Criterios!A8,1)),ISNUMBER(FIND("04",Criterios!A8,1))),(I19-W19+K19)/(F19-K19),(H19-W19+K19)/(F19-K19))</f>
        <v>-1.3455298584742836</v>
      </c>
      <c r="AR19" s="889">
        <f>IF(ISNUMBER((Datos!P19-Datos!Q19)/(Datos!R19-Datos!P19+Datos!Q19)),(Datos!P19-Datos!Q19)/(Datos!R19-Datos!P19+Datos!Q19)," - ")</f>
        <v>1.8849331682542891E-2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3853.6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9.6695398029068578</v>
      </c>
      <c r="F21" s="252">
        <f>IF(ISNUMBER(STDEV(F8:F18)),STDEV(F8:F18),"-")</f>
        <v>4697.8991403959844</v>
      </c>
      <c r="G21" s="253">
        <f>IF(ISNUMBER(STDEV(G8:G18)),STDEV(G8:G18),"-")</f>
        <v>4470.4453693116529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5656.0327792543776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1246.8015078592102</v>
      </c>
      <c r="AJ21" s="252">
        <f t="shared" si="18"/>
        <v>0</v>
      </c>
      <c r="AK21" s="254">
        <f t="shared" si="18"/>
        <v>0</v>
      </c>
      <c r="AL21" s="249">
        <f t="shared" si="18"/>
        <v>0.12153132675568004</v>
      </c>
      <c r="AM21" s="250">
        <f t="shared" si="18"/>
        <v>3.4904637616264833</v>
      </c>
      <c r="AN21" s="250">
        <f t="shared" si="18"/>
        <v>0.15712728293133707</v>
      </c>
      <c r="AO21" s="251">
        <f t="shared" si="18"/>
        <v>1.1733575723749714</v>
      </c>
      <c r="AP21" s="291" t="str">
        <f t="shared" si="18"/>
        <v>-</v>
      </c>
      <c r="AQ21" s="292">
        <f t="shared" si="18"/>
        <v>0.63997544967136288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NW4ypEaYGB/HPKbYJsJ+wdeCjk5GjJRCSkTINc9D6yCbhiRRMbjGRBUgEpWTBsi8Ajuq88Q2gHiO36LjuPWRiA==" saltValue="1xOTPhLvsV1h94ylEtp96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PALMA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0.3088595203132648</v>
      </c>
      <c r="I9" s="350">
        <f>IF(ISNUMBER((Tasas!C9-Datos!BE9)/Datos!BE9),(Tasas!C9-Datos!BE9)/Datos!BE9," - ")</f>
        <v>-3.1691592420419391E-2</v>
      </c>
      <c r="J9" s="349">
        <f>IF(ISNUMBER((Tasas!D9-Datos!BF9)/Datos!BF9),(Tasas!D9-Datos!BF9)/Datos!BF9," - ")</f>
        <v>-0.25593407547214764</v>
      </c>
      <c r="K9" s="351">
        <f>IF(ISNUMBER((Tasas!E9-Datos!BG9)/Datos!BG9),(Tasas!E9-Datos!BG9)/Datos!BG9," - ")</f>
        <v>-3.4870204649339959E-2</v>
      </c>
      <c r="M9" t="e">
        <f>IF(Monitorios="SI",Datos!CE9,0)</f>
        <v>#REF!</v>
      </c>
      <c r="N9" t="e">
        <f>IF(Monitorios="SI",Datos!CF9,0)</f>
        <v>#REF!</v>
      </c>
      <c r="O9" t="e">
        <f>IF(Monitorios="SI",Datos!CG9,0)</f>
        <v>#REF!</v>
      </c>
      <c r="P9" t="e">
        <f>IF(Monitorios="SI",Datos!CH9,0)</f>
        <v>#REF!</v>
      </c>
      <c r="Q9">
        <f>IF(J_V="SI",0,Datos!AG9)</f>
        <v>756</v>
      </c>
      <c r="R9">
        <f>IF(J_V="SI",0,Datos!AH9)</f>
        <v>277</v>
      </c>
      <c r="S9">
        <f>IF(J_V="SI",0,Datos!AI9)</f>
        <v>403</v>
      </c>
      <c r="T9">
        <f>IF(J_V="SI",0,Datos!AJ9)</f>
        <v>630</v>
      </c>
    </row>
    <row r="10" spans="2:20" ht="14.25">
      <c r="B10" s="275" t="s">
        <v>246</v>
      </c>
      <c r="C10" s="7" t="str">
        <f>Datos!A10</f>
        <v>Jdos. Violencia contra la mujer</v>
      </c>
      <c r="D10" s="352">
        <f>IF(ISNUMBER((Datos!I10-Datos!S10)/Datos!S10),(Datos!I10-Datos!S10)/Datos!S10," - ")</f>
        <v>0.28240740740740738</v>
      </c>
      <c r="E10" s="348">
        <f>IF(ISNUMBER((Datos!J10-Datos!T10)/Datos!T10),(Datos!J10-Datos!T10)/Datos!T10," - ")</f>
        <v>0.5535714285714286</v>
      </c>
      <c r="F10" s="348">
        <f>IF(ISNUMBER((Datos!K10-Datos!U10)/Datos!U10),(Datos!K10-Datos!U10)/Datos!U10," - ")</f>
        <v>7.43801652892562E-2</v>
      </c>
      <c r="G10" s="349">
        <f>IF(ISNUMBER((Datos!L10-Datos!V10)/Datos!V10),(Datos!L10-Datos!V10)/Datos!V10," - ")</f>
        <v>0.55072463768115942</v>
      </c>
      <c r="H10" s="230">
        <f>IF(ISNUMBER((Datos!M10-Datos!W10)/Datos!W10),(Datos!M10-Datos!W10)/Datos!W10," - ")</f>
        <v>9.2307692307692313E-2</v>
      </c>
      <c r="I10" s="350">
        <f>IF(ISNUMBER((Tasas!C10-Datos!BE10)/Datos!BE10),(Tasas!C10-Datos!BE10)/Datos!BE10," - ")</f>
        <v>0.44336677814938685</v>
      </c>
      <c r="J10" s="349">
        <f>IF(ISNUMBER((Tasas!D10-Datos!BF10)/Datos!BF10),(Tasas!D10-Datos!BF10)/Datos!BF10," - ")</f>
        <v>1.6686390532544306E-2</v>
      </c>
      <c r="K10" s="351">
        <f>IF(ISNUMBER((Tasas!E10-Datos!BG10)/Datos!BG10),(Tasas!E10-Datos!BG10)/Datos!BG10," - ")</f>
        <v>0.27980769230769242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0.13174946004319654</v>
      </c>
      <c r="I11" s="350">
        <f>IF(ISNUMBER((Tasas!C11-Datos!BE11)/Datos!BE11),(Tasas!C11-Datos!BE11)/Datos!BE11," - ")</f>
        <v>-3.3266096817418996E-2</v>
      </c>
      <c r="J11" s="349">
        <f>IF(ISNUMBER((Tasas!D11-Datos!BF11)/Datos!BF11),(Tasas!D11-Datos!BF11)/Datos!BF11," - ")</f>
        <v>-0.61101529232407359</v>
      </c>
      <c r="K11" s="351">
        <f>IF(ISNUMBER((Tasas!E11-Datos!BG11)/Datos!BG11),(Tasas!E11-Datos!BG11)/Datos!BG11," - ")</f>
        <v>-6.9925386009817903E-2</v>
      </c>
      <c r="M11" t="e">
        <f>IF(Monitorios="SI",Datos!CE11,0)</f>
        <v>#REF!</v>
      </c>
      <c r="N11" t="e">
        <f>IF(Monitorios="SI",Datos!CF11,0)</f>
        <v>#REF!</v>
      </c>
      <c r="O11" t="e">
        <f>IF(Monitorios="SI",Datos!CG11,0)</f>
        <v>#REF!</v>
      </c>
      <c r="P11" t="e">
        <f>IF(Monitorios="SI",Datos!CH11,0)</f>
        <v>#REF!</v>
      </c>
      <c r="Q11">
        <f>IF(J_V="SI",0,Datos!AG11)</f>
        <v>193</v>
      </c>
      <c r="R11">
        <f>IF(J_V="SI",0,Datos!AH11)</f>
        <v>595</v>
      </c>
      <c r="S11">
        <f>IF(J_V="SI",0,Datos!AI11)</f>
        <v>535</v>
      </c>
      <c r="T11">
        <f>IF(J_V="SI",0,Datos!AJ11)</f>
        <v>253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0.27148969272656553</v>
      </c>
      <c r="I13" s="357">
        <f>IF(ISNUMBER((Tasas!C13-Datos!BE13)/Datos!BE13),(Tasas!C13-Datos!BE13)/Datos!BE13," - ")</f>
        <v>-1.0904215887396079E-2</v>
      </c>
      <c r="J13" s="355">
        <f>IF(ISNUMBER((Tasas!D13-Datos!BF13)/Datos!BF13),(Tasas!D13-Datos!BF13)/Datos!BF13," - ")</f>
        <v>-0.36254006946606077</v>
      </c>
      <c r="K13" s="358">
        <f>IF(ISNUMBER((Tasas!E13-Datos!BG13)/Datos!BG13),(Tasas!E13-Datos!BG13)/Datos!BG13," - ")</f>
        <v>-2.2314133740175542E-2</v>
      </c>
      <c r="M13" t="e">
        <f>IF(Monitorios="SI",Datos!CE13,0)</f>
        <v>#REF!</v>
      </c>
      <c r="N13" t="e">
        <f>IF(Monitorios="SI",Datos!CF13,0)</f>
        <v>#REF!</v>
      </c>
      <c r="O13" t="e">
        <f>IF(Monitorios="SI",Datos!CG13,0)</f>
        <v>#REF!</v>
      </c>
      <c r="P13" t="e">
        <f>IF(Monitorios="SI",Datos!CH13,0)</f>
        <v>#REF!</v>
      </c>
      <c r="Q13">
        <f>IF(J_V="SI",0,Datos!AG13)</f>
        <v>949</v>
      </c>
      <c r="R13">
        <f>IF(J_V="SI",0,Datos!AH13)</f>
        <v>872</v>
      </c>
      <c r="S13">
        <f>IF(J_V="SI",0,Datos!AI13)</f>
        <v>938</v>
      </c>
      <c r="T13">
        <f>IF(J_V="SI",0,Datos!AJ13)</f>
        <v>883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0.16351019227989014</v>
      </c>
      <c r="E15" s="348">
        <f>IF(ISNUMBER(
   IF(D_I="SI",(Datos!J15-Datos!T15)/Datos!T15,(Datos!J15+Datos!AD15-(Datos!T15+Datos!AL15))/(Datos!T15+Datos!AL15))
     ),IF(D_I="SI",(Datos!J15-Datos!T15)/Datos!T15,(Datos!J15+Datos!AD15-(Datos!T15+Datos!AL15))/(Datos!T15+Datos!AL15))," - ")</f>
        <v>9.939542985961676E-3</v>
      </c>
      <c r="F15" s="348">
        <f>IF(ISNUMBER(
   IF(D_I="SI",(Datos!K15-Datos!U15)/Datos!U15,(Datos!K15+Datos!AE15-(Datos!U15+Datos!AM15))/(Datos!U15+Datos!AM15))
     ),IF(D_I="SI",(Datos!K15-Datos!U15)/Datos!U15,(Datos!K15+Datos!AE15-(Datos!U15+Datos!AM15))/(Datos!U15+Datos!AM15))," - ")</f>
        <v>1.2062726176115802E-2</v>
      </c>
      <c r="G15" s="349">
        <f>IF(ISNUMBER(
   IF(D_I="SI",(Datos!L15-Datos!V15)/Datos!V15,(Datos!L15+Datos!AF15-(Datos!V15+Datos!AN15))/(Datos!V15+Datos!AN15))
     ),IF(D_I="SI",(Datos!L15-Datos!V15)/Datos!V15,(Datos!L15+Datos!AF15-(Datos!V15+Datos!AN15))/(Datos!V15+Datos!AN15))," - ")</f>
        <v>0.17709529276693456</v>
      </c>
      <c r="H15" s="230">
        <f>IF(ISNUMBER((Datos!M15-Datos!W15)/Datos!W15),(Datos!M15-Datos!W15)/Datos!W15," - ")</f>
        <v>0.1988255033557047</v>
      </c>
      <c r="I15" s="350">
        <f>IF(ISNUMBER((Tasas!C15-Datos!BE15)/Datos!BE15),(Tasas!C15-Datos!BE15)/Datos!BE15," - ")</f>
        <v>0.16306555149438468</v>
      </c>
      <c r="J15" s="349">
        <f>IF(ISNUMBER((Tasas!D15-Datos!BF15)/Datos!BF15),(Tasas!D15-Datos!BF15)/Datos!BF15," - ")</f>
        <v>0.18453676076505277</v>
      </c>
      <c r="K15" s="351">
        <f>IF(ISNUMBER((Tasas!E15-Datos!BG15)/Datos!BG15),(Tasas!E15-Datos!BG15)/Datos!BG15," - ")</f>
        <v>6.0842114351600689E-2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0.12457044673539519</v>
      </c>
      <c r="E17" s="348">
        <f>IF(ISNUMBER(
   IF(D_I="SI",(Datos!J17-Datos!T17)/Datos!T17,(Datos!J17+Datos!AD17-(Datos!T17+Datos!AL17))/(Datos!T17+Datos!AL17))
     ),IF(D_I="SI",(Datos!J17-Datos!T17)/Datos!T17,(Datos!J17+Datos!AD17-(Datos!T17+Datos!AL17))/(Datos!T17+Datos!AL17))," - ")</f>
        <v>-7.7355836849507739E-2</v>
      </c>
      <c r="F17" s="348">
        <f>IF(ISNUMBER(
   IF(D_I="SI",(Datos!K17-Datos!U17)/Datos!U17,(Datos!K17+Datos!AE17-(Datos!U17+Datos!AM17))/(Datos!U17+Datos!AM17))
     ),IF(D_I="SI",(Datos!K17-Datos!U17)/Datos!U17,(Datos!K17+Datos!AE17-(Datos!U17+Datos!AM17))/(Datos!U17+Datos!AM17))," - ")</f>
        <v>9.5168374816983897E-2</v>
      </c>
      <c r="G17" s="349">
        <f>IF(ISNUMBER(
   IF(D_I="SI",(Datos!L17-Datos!V17)/Datos!V17,(Datos!L17+Datos!AF17-(Datos!V17+Datos!AN17))/(Datos!V17+Datos!AN17))
     ),IF(D_I="SI",(Datos!L17-Datos!V17)/Datos!V17,(Datos!L17+Datos!AF17-(Datos!V17+Datos!AN17))/(Datos!V17+Datos!AN17))," - ")</f>
        <v>-7.7868852459016397E-2</v>
      </c>
      <c r="H17" s="230">
        <f>IF(ISNUMBER((Datos!M17-Datos!W17)/Datos!W17),(Datos!M17-Datos!W17)/Datos!W17," - ")</f>
        <v>0.29069767441860467</v>
      </c>
      <c r="I17" s="350">
        <f>IF(ISNUMBER((Tasas!C17-Datos!BE17)/Datos!BE17),(Tasas!C17-Datos!BE17)/Datos!BE17," - ")</f>
        <v>-0.15800056982554575</v>
      </c>
      <c r="J17" s="349">
        <f>IF(ISNUMBER((Tasas!D17-Datos!BF17)/Datos!BF17),(Tasas!D17-Datos!BF17)/Datos!BF17," - ")</f>
        <v>0.17853811714960829</v>
      </c>
      <c r="K17" s="351">
        <f>IF(ISNUMBER((Tasas!E17-Datos!BG17)/Datos!BG17),(Tasas!E17-Datos!BG17)/Datos!BG17," - ")</f>
        <v>-7.4540098680265246E-2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0.15790124984531617</v>
      </c>
      <c r="E18" s="354">
        <f>IF(ISNUMBER(
   IF(D_I="SI",(Datos!J18-Datos!T18)/Datos!T18,(Datos!J18+Datos!AD18-(Datos!T18+Datos!AL18))/(Datos!T18+Datos!AL18))
     ),IF(D_I="SI",(Datos!J18-Datos!T18)/Datos!T18,(Datos!J18+Datos!AD18-(Datos!T18+Datos!AL18))/(Datos!T18+Datos!AL18))," - ")</f>
        <v>-1.1626867006528934E-3</v>
      </c>
      <c r="F18" s="354">
        <f>IF(ISNUMBER(
   IF(D_I="SI",(Datos!K18-Datos!U18)/Datos!U18,(Datos!K18+Datos!AE18-(Datos!U18+Datos!AM18))/(Datos!U18+Datos!AM18))
     ),IF(D_I="SI",(Datos!K18-Datos!U18)/Datos!U18,(Datos!K18+Datos!AE18-(Datos!U18+Datos!AM18))/(Datos!U18+Datos!AM18))," - ")</f>
        <v>2.2096517588828E-2</v>
      </c>
      <c r="G18" s="355">
        <f>IF(ISNUMBER(
   IF(D_I="SI",(Datos!L18-Datos!V18)/Datos!V18,(Datos!L18+Datos!AF18-(Datos!V18+Datos!AN18))/(Datos!V18+Datos!AN18))
     ),IF(D_I="SI",(Datos!L18-Datos!V18)/Datos!V18,(Datos!L18+Datos!AF18-(Datos!V18+Datos!AN18))/(Datos!V18+Datos!AN18))," - ")</f>
        <v>0.13910600879335613</v>
      </c>
      <c r="H18" s="356">
        <f>IF(ISNUMBER((Datos!M18-Datos!W18)/Datos!W18),(Datos!M18-Datos!W18)/Datos!W18," - ")</f>
        <v>0.20500782472613457</v>
      </c>
      <c r="I18" s="357">
        <f>IF(ISNUMBER((Tasas!C18-Datos!BE18)/Datos!BE18),(Tasas!C18-Datos!BE18)/Datos!BE18," - ")</f>
        <v>0.11447988442476925</v>
      </c>
      <c r="J18" s="355">
        <f>IF(ISNUMBER((Tasas!D18-Datos!BF18)/Datos!BF18),(Tasas!D18-Datos!BF18)/Datos!BF18," - ")</f>
        <v>0.17895698105772115</v>
      </c>
      <c r="K18" s="358">
        <f>IF(ISNUMBER((Tasas!E18-Datos!BG18)/Datos!BG18),(Tasas!E18-Datos!BG18)/Datos!BG18," - ")</f>
        <v>4.2533162740043498E-2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0.24113082039911307</v>
      </c>
      <c r="E19" s="363">
        <f>IF(ISNUMBER(
   IF(J_V="SI",(Datos!J19-Datos!T19)/Datos!T19,(Datos!J19+Datos!Z19-(Datos!T19+Datos!AH19))/(Datos!T19+Datos!AH19))
     ),IF(J_V="SI",(Datos!J19-Datos!T19)/Datos!T19,(Datos!J19+Datos!Z19-(Datos!T19+Datos!AH19))/(Datos!T19+Datos!AH19))," - ")</f>
        <v>-3.9226926541642781E-2</v>
      </c>
      <c r="F19" s="363">
        <f>IF(ISNUMBER(
   IF(J_V="SI",(Datos!K19-Datos!U19)/Datos!U19,(Datos!K19+Datos!AA19-(Datos!U19+Datos!AI19))/(Datos!U19+Datos!AI19))
     ),IF(J_V="SI",(Datos!K19-Datos!U19)/Datos!U19,(Datos!K19+Datos!AA19-(Datos!U19+Datos!AI19))/(Datos!U19+Datos!AI19))," - ")</f>
        <v>9.7716809170346711E-2</v>
      </c>
      <c r="G19" s="364">
        <f>IF(ISNUMBER(
   IF(J_V="SI",(Datos!L19-Datos!V19)/Datos!V19,(Datos!L19+Datos!AB19-(Datos!V19+Datos!AJ19))/(Datos!V19+Datos!AJ19))
     ),IF(J_V="SI",(Datos!L19-Datos!V19)/Datos!V19,(Datos!L19+Datos!AB19-(Datos!V19+Datos!AJ19))/(Datos!V19+Datos!AJ19))," - ")</f>
        <v>0.16397489970167678</v>
      </c>
      <c r="H19" s="365">
        <f>IF(ISNUMBER((Datos!M19-Datos!W19)/Datos!W19),(Datos!M19-Datos!W19)/Datos!W19," - ")</f>
        <v>0.24941543257989088</v>
      </c>
      <c r="I19" s="362">
        <f>IF(ISNUMBER((Tasas!C19-Datos!BE19)/Datos!BE19),(Tasas!C19-Datos!BE19)/Datos!BE19," - ")</f>
        <v>6.0359912481806596E-2</v>
      </c>
      <c r="J19" s="363">
        <f>IF(ISNUMBER((Tasas!D19-Datos!BF19)/Datos!BF19),(Tasas!D19-Datos!BF19)/Datos!BF19," - ")</f>
        <v>-0.219228065559402</v>
      </c>
      <c r="K19" s="364">
        <f>IF(ISNUMBER((Tasas!E19-Datos!BG19)/Datos!BG19),(Tasas!E19-Datos!BG19)/Datos!BG19," - ")</f>
        <v>2.7553466024608616E-2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6.9046809994132763E-2</v>
      </c>
      <c r="E21" s="278">
        <f t="shared" si="1"/>
        <v>0.29081550836937969</v>
      </c>
      <c r="F21" s="278">
        <f t="shared" si="1"/>
        <v>4.0203559973751489E-2</v>
      </c>
      <c r="G21" s="279">
        <f t="shared" si="1"/>
        <v>0.26103744149358898</v>
      </c>
      <c r="H21" s="285">
        <f t="shared" si="1"/>
        <v>8.1722186646443151E-2</v>
      </c>
      <c r="I21" s="277">
        <f t="shared" si="1"/>
        <v>0.19560844532505048</v>
      </c>
      <c r="J21" s="278">
        <f t="shared" si="1"/>
        <v>0.3173417371164779</v>
      </c>
      <c r="K21" s="279">
        <f t="shared" si="1"/>
        <v>0.12332549101062464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d3SxNUtLV6ezI3CIc48Oh5j3gjJEe2edFXzvCsuXMbk3/JcxUo2znfhn+OYk8fcJWgsUplV7Tt/+daEBQ7JFw==" saltValue="JyHCDispDPBVElT6Zwob2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